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италий\Desktop\на сайт\270\"/>
    </mc:Choice>
  </mc:AlternateContent>
  <bookViews>
    <workbookView xWindow="0" yWindow="765" windowWidth="15480" windowHeight="9435" activeTab="5"/>
  </bookViews>
  <sheets>
    <sheet name="дод1" sheetId="19" r:id="rId1"/>
    <sheet name="дод.2  " sheetId="16" r:id="rId2"/>
    <sheet name="дод.3" sheetId="1" r:id="rId3"/>
    <sheet name="дод.4" sheetId="17" r:id="rId4"/>
    <sheet name="дод.5" sheetId="18" r:id="rId5"/>
    <sheet name="дод. 6" sheetId="8" r:id="rId6"/>
  </sheets>
  <definedNames>
    <definedName name="_xlnm.Print_Titles" localSheetId="1">'дод.2  '!$10:$10</definedName>
    <definedName name="_xlnm.Print_Titles" localSheetId="2">дод.3!$10:$13</definedName>
    <definedName name="_xlnm.Print_Area" localSheetId="5">'дод. 6'!$A$1:$H$44</definedName>
    <definedName name="_xlnm.Print_Area" localSheetId="1">'дод.2  '!$A$1:$F$25</definedName>
    <definedName name="_xlnm.Print_Area" localSheetId="2">дод.3!$A$2:$P$73</definedName>
  </definedNames>
  <calcPr calcId="162913" fullCalcOnLoad="1"/>
</workbook>
</file>

<file path=xl/calcChain.xml><?xml version="1.0" encoding="utf-8"?>
<calcChain xmlns="http://schemas.openxmlformats.org/spreadsheetml/2006/main">
  <c r="F16" i="16" l="1"/>
  <c r="E16" i="16"/>
  <c r="D16" i="16"/>
  <c r="D14" i="16"/>
  <c r="D13" i="16" s="1"/>
  <c r="Q16" i="17"/>
  <c r="Q15" i="17"/>
  <c r="O69" i="1"/>
  <c r="N69" i="1"/>
  <c r="F10" i="8"/>
  <c r="G38" i="8"/>
  <c r="H10" i="8"/>
  <c r="F12" i="8"/>
  <c r="H12" i="8"/>
  <c r="F11" i="8"/>
  <c r="F37" i="8"/>
  <c r="H22" i="8"/>
  <c r="F20" i="8"/>
  <c r="H20" i="8" s="1"/>
  <c r="F18" i="8"/>
  <c r="H19" i="8"/>
  <c r="F23" i="8"/>
  <c r="G26" i="8"/>
  <c r="H26" i="8" s="1"/>
  <c r="G24" i="8"/>
  <c r="G25" i="8"/>
  <c r="F24" i="8"/>
  <c r="H12" i="18"/>
  <c r="H17" i="18" s="1"/>
  <c r="G12" i="18"/>
  <c r="G17" i="18" s="1"/>
  <c r="H42" i="1"/>
  <c r="F48" i="1"/>
  <c r="E48" i="1" s="1"/>
  <c r="F39" i="1"/>
  <c r="F70" i="1"/>
  <c r="F52" i="1"/>
  <c r="F50" i="1"/>
  <c r="F42" i="1"/>
  <c r="F58" i="1"/>
  <c r="O58" i="1"/>
  <c r="O39" i="1"/>
  <c r="O70" i="1"/>
  <c r="N70" i="1"/>
  <c r="J70" i="1" s="1"/>
  <c r="O63" i="1"/>
  <c r="N63" i="1" s="1"/>
  <c r="J63" i="1" s="1"/>
  <c r="J61" i="1" s="1"/>
  <c r="O62" i="1"/>
  <c r="O61" i="1" s="1"/>
  <c r="M61" i="1"/>
  <c r="L61" i="1"/>
  <c r="I61" i="1"/>
  <c r="H61" i="1"/>
  <c r="G61" i="1"/>
  <c r="F61" i="1"/>
  <c r="E64" i="19"/>
  <c r="E63" i="19" s="1"/>
  <c r="H37" i="8"/>
  <c r="H17" i="8"/>
  <c r="H13" i="18"/>
  <c r="G53" i="1"/>
  <c r="I53" i="1"/>
  <c r="L53" i="1"/>
  <c r="M53" i="1"/>
  <c r="O53" i="1"/>
  <c r="E55" i="1"/>
  <c r="P55" i="1"/>
  <c r="L14" i="17"/>
  <c r="F61" i="19"/>
  <c r="D66" i="19"/>
  <c r="C66" i="19"/>
  <c r="F65" i="19"/>
  <c r="F64" i="19" s="1"/>
  <c r="F63" i="19" s="1"/>
  <c r="E65" i="19"/>
  <c r="D65" i="19"/>
  <c r="E61" i="19"/>
  <c r="C61" i="19" s="1"/>
  <c r="F60" i="19"/>
  <c r="E60" i="19" s="1"/>
  <c r="F59" i="19"/>
  <c r="E59" i="19" s="1"/>
  <c r="E58" i="19" s="1"/>
  <c r="C58" i="19" s="1"/>
  <c r="D58" i="19"/>
  <c r="C57" i="19"/>
  <c r="C56" i="19"/>
  <c r="E55" i="19"/>
  <c r="C55" i="19"/>
  <c r="F54" i="19"/>
  <c r="D54" i="19"/>
  <c r="C53" i="19"/>
  <c r="C52" i="19"/>
  <c r="D51" i="19"/>
  <c r="C51" i="19"/>
  <c r="C50" i="19"/>
  <c r="D49" i="19"/>
  <c r="C49" i="19" s="1"/>
  <c r="C48" i="19"/>
  <c r="C47" i="19"/>
  <c r="C46" i="19"/>
  <c r="D45" i="19"/>
  <c r="C45" i="19"/>
  <c r="C43" i="19"/>
  <c r="C42" i="19"/>
  <c r="F41" i="19"/>
  <c r="F39" i="19"/>
  <c r="F38" i="19" s="1"/>
  <c r="E41" i="19"/>
  <c r="E39" i="19" s="1"/>
  <c r="D41" i="19"/>
  <c r="C40" i="19"/>
  <c r="C37" i="19"/>
  <c r="C36" i="19"/>
  <c r="C35" i="19"/>
  <c r="F34" i="19"/>
  <c r="E34" i="19"/>
  <c r="D34" i="19"/>
  <c r="C34" i="19"/>
  <c r="C33" i="19"/>
  <c r="C32" i="19"/>
  <c r="C31" i="19"/>
  <c r="F30" i="19"/>
  <c r="E30" i="19"/>
  <c r="D30" i="19"/>
  <c r="C30" i="19" s="1"/>
  <c r="C29" i="19"/>
  <c r="C28" i="19"/>
  <c r="C27" i="19"/>
  <c r="C26" i="19"/>
  <c r="C25" i="19"/>
  <c r="C24" i="19"/>
  <c r="C23" i="19"/>
  <c r="C22" i="19"/>
  <c r="C21" i="19"/>
  <c r="C20" i="19"/>
  <c r="D19" i="19"/>
  <c r="C19" i="19" s="1"/>
  <c r="D18" i="19"/>
  <c r="C18" i="19" s="1"/>
  <c r="C17" i="19"/>
  <c r="C16" i="19"/>
  <c r="C15" i="19"/>
  <c r="F14" i="19"/>
  <c r="E14" i="19"/>
  <c r="D14" i="19"/>
  <c r="C14" i="19"/>
  <c r="C13" i="19"/>
  <c r="D12" i="19"/>
  <c r="C12" i="19" s="1"/>
  <c r="F11" i="19"/>
  <c r="F10" i="19" s="1"/>
  <c r="E11" i="19"/>
  <c r="D11" i="19"/>
  <c r="C11" i="19" s="1"/>
  <c r="H24" i="8"/>
  <c r="H11" i="8"/>
  <c r="H13" i="8"/>
  <c r="H14" i="8"/>
  <c r="F15" i="8"/>
  <c r="H15" i="8"/>
  <c r="H16" i="8"/>
  <c r="H18" i="8"/>
  <c r="F21" i="8"/>
  <c r="H21" i="8" s="1"/>
  <c r="G23" i="8"/>
  <c r="H23" i="8" s="1"/>
  <c r="H25" i="8"/>
  <c r="H27" i="8"/>
  <c r="H28" i="8"/>
  <c r="F29" i="8"/>
  <c r="H29" i="8" s="1"/>
  <c r="H30" i="8"/>
  <c r="H31" i="8"/>
  <c r="F32" i="8"/>
  <c r="H32" i="8" s="1"/>
  <c r="F33" i="8"/>
  <c r="H33" i="8" s="1"/>
  <c r="H34" i="8"/>
  <c r="G35" i="8"/>
  <c r="H35" i="8"/>
  <c r="H36" i="8"/>
  <c r="S15" i="17"/>
  <c r="S16" i="17"/>
  <c r="N62" i="1"/>
  <c r="N64" i="1"/>
  <c r="N39" i="1"/>
  <c r="J39" i="1" s="1"/>
  <c r="O42" i="1"/>
  <c r="O41" i="1"/>
  <c r="N48" i="1"/>
  <c r="N44" i="1"/>
  <c r="N50" i="1"/>
  <c r="N52" i="1"/>
  <c r="N49" i="1" s="1"/>
  <c r="N54" i="1"/>
  <c r="O57" i="1"/>
  <c r="N57" i="1" s="1"/>
  <c r="N58" i="1"/>
  <c r="N66" i="1"/>
  <c r="N68" i="1"/>
  <c r="N67" i="1" s="1"/>
  <c r="K62" i="1"/>
  <c r="J62" i="1" s="1"/>
  <c r="P62" i="1" s="1"/>
  <c r="J64" i="1"/>
  <c r="E62" i="1"/>
  <c r="E63" i="1"/>
  <c r="E64" i="1"/>
  <c r="E61" i="1" s="1"/>
  <c r="P61" i="1" s="1"/>
  <c r="E57" i="1"/>
  <c r="K57" i="1"/>
  <c r="K58" i="1"/>
  <c r="J58" i="1" s="1"/>
  <c r="E42" i="1"/>
  <c r="E43" i="1"/>
  <c r="E41" i="1"/>
  <c r="K41" i="1"/>
  <c r="E39" i="1"/>
  <c r="K39" i="1"/>
  <c r="P40" i="1"/>
  <c r="E45" i="1"/>
  <c r="P45" i="1" s="1"/>
  <c r="F47" i="1"/>
  <c r="E46" i="1"/>
  <c r="P46" i="1" s="1"/>
  <c r="K48" i="1"/>
  <c r="E50" i="1"/>
  <c r="E49" i="1" s="1"/>
  <c r="P49" i="1" s="1"/>
  <c r="E51" i="1"/>
  <c r="E52" i="1"/>
  <c r="P52" i="1" s="1"/>
  <c r="J50" i="1"/>
  <c r="J52" i="1"/>
  <c r="J49" i="1" s="1"/>
  <c r="F54" i="1"/>
  <c r="F53" i="1" s="1"/>
  <c r="E54" i="1"/>
  <c r="E53" i="1" s="1"/>
  <c r="K54" i="1"/>
  <c r="K53" i="1"/>
  <c r="E66" i="1"/>
  <c r="E65" i="1"/>
  <c r="E67" i="1"/>
  <c r="J68" i="1"/>
  <c r="J67" i="1" s="1"/>
  <c r="P67" i="1" s="1"/>
  <c r="E60" i="1"/>
  <c r="E59" i="1" s="1"/>
  <c r="K60" i="1"/>
  <c r="N60" i="1"/>
  <c r="J60" i="1"/>
  <c r="P60" i="1" s="1"/>
  <c r="E69" i="1"/>
  <c r="E70" i="1"/>
  <c r="P70" i="1" s="1"/>
  <c r="O44" i="1"/>
  <c r="O49" i="1"/>
  <c r="O65" i="1"/>
  <c r="O67" i="1"/>
  <c r="F41" i="1"/>
  <c r="F49" i="1"/>
  <c r="F65" i="1"/>
  <c r="F67" i="1"/>
  <c r="F59" i="1"/>
  <c r="P64" i="1"/>
  <c r="H54" i="1"/>
  <c r="H53" i="1"/>
  <c r="L44" i="1"/>
  <c r="L37" i="1" s="1"/>
  <c r="L38" i="1" s="1"/>
  <c r="M44" i="1"/>
  <c r="G47" i="1"/>
  <c r="G44" i="1" s="1"/>
  <c r="F16" i="1"/>
  <c r="E16" i="1" s="1"/>
  <c r="F18" i="1"/>
  <c r="E20" i="16"/>
  <c r="H44" i="1"/>
  <c r="H39" i="1"/>
  <c r="H37" i="1" s="1"/>
  <c r="H38" i="1" s="1"/>
  <c r="H41" i="1"/>
  <c r="H49" i="1"/>
  <c r="H56" i="1"/>
  <c r="H65" i="1"/>
  <c r="H67" i="1"/>
  <c r="G41" i="1"/>
  <c r="G37" i="1" s="1"/>
  <c r="G38" i="1" s="1"/>
  <c r="G49" i="1"/>
  <c r="G56" i="1"/>
  <c r="G65" i="1"/>
  <c r="G67" i="1"/>
  <c r="K16" i="1"/>
  <c r="N16" i="1"/>
  <c r="J16" i="1" s="1"/>
  <c r="K17" i="1"/>
  <c r="O17" i="1"/>
  <c r="N17" i="1"/>
  <c r="K22" i="1"/>
  <c r="N22" i="1"/>
  <c r="J22" i="1" s="1"/>
  <c r="J20" i="1"/>
  <c r="N24" i="1"/>
  <c r="J24" i="1"/>
  <c r="P24" i="1" s="1"/>
  <c r="N26" i="1"/>
  <c r="J26" i="1"/>
  <c r="K28" i="1"/>
  <c r="N28" i="1"/>
  <c r="J28" i="1"/>
  <c r="K30" i="1"/>
  <c r="N30" i="1"/>
  <c r="J30" i="1" s="1"/>
  <c r="J31" i="1"/>
  <c r="J34" i="1"/>
  <c r="J33" i="1"/>
  <c r="P33" i="1" s="1"/>
  <c r="N36" i="1"/>
  <c r="J36" i="1"/>
  <c r="J35" i="1" s="1"/>
  <c r="F17" i="1"/>
  <c r="F20" i="1"/>
  <c r="F23" i="1"/>
  <c r="F27" i="1"/>
  <c r="F29" i="1"/>
  <c r="F32" i="1"/>
  <c r="F33" i="1"/>
  <c r="F35" i="1"/>
  <c r="I65" i="1"/>
  <c r="K65" i="1"/>
  <c r="L65" i="1"/>
  <c r="M65" i="1"/>
  <c r="I44" i="1"/>
  <c r="G29" i="1"/>
  <c r="H29" i="1"/>
  <c r="I29" i="1"/>
  <c r="L29" i="1"/>
  <c r="M29" i="1"/>
  <c r="O29" i="1"/>
  <c r="G33" i="1"/>
  <c r="H33" i="1"/>
  <c r="I33" i="1"/>
  <c r="K33" i="1"/>
  <c r="L33" i="1"/>
  <c r="M33" i="1"/>
  <c r="N33" i="1"/>
  <c r="O33" i="1"/>
  <c r="I35" i="1"/>
  <c r="K35" i="1"/>
  <c r="L35" i="1"/>
  <c r="M35" i="1"/>
  <c r="O35" i="1"/>
  <c r="H35" i="1"/>
  <c r="G35" i="1"/>
  <c r="M67" i="1"/>
  <c r="L67" i="1"/>
  <c r="K67" i="1"/>
  <c r="M56" i="1"/>
  <c r="L56" i="1"/>
  <c r="M49" i="1"/>
  <c r="L49" i="1"/>
  <c r="K49" i="1"/>
  <c r="N42" i="1"/>
  <c r="J42" i="1"/>
  <c r="P51" i="1"/>
  <c r="P43" i="1"/>
  <c r="G17" i="1"/>
  <c r="G15" i="1" s="1"/>
  <c r="G14" i="1" s="1"/>
  <c r="G71" i="1" s="1"/>
  <c r="I17" i="1"/>
  <c r="H17" i="1"/>
  <c r="E19" i="1"/>
  <c r="P19" i="1"/>
  <c r="G20" i="1"/>
  <c r="H20" i="1"/>
  <c r="I20" i="1"/>
  <c r="L20" i="1"/>
  <c r="M20" i="1"/>
  <c r="O20" i="1"/>
  <c r="O15" i="1" s="1"/>
  <c r="O14" i="1" s="1"/>
  <c r="E21" i="1"/>
  <c r="E22" i="1"/>
  <c r="E20" i="1" s="1"/>
  <c r="P20" i="1" s="1"/>
  <c r="K20" i="1"/>
  <c r="N20" i="1"/>
  <c r="G23" i="1"/>
  <c r="I23" i="1"/>
  <c r="K23" i="1"/>
  <c r="L23" i="1"/>
  <c r="M23" i="1"/>
  <c r="O23" i="1"/>
  <c r="E24" i="1"/>
  <c r="E25" i="1"/>
  <c r="P25" i="1" s="1"/>
  <c r="E26" i="1"/>
  <c r="P26" i="1" s="1"/>
  <c r="N23" i="1"/>
  <c r="G27" i="1"/>
  <c r="I27" i="1"/>
  <c r="L27" i="1"/>
  <c r="M27" i="1"/>
  <c r="O27" i="1"/>
  <c r="E28" i="1"/>
  <c r="E27" i="1"/>
  <c r="H27" i="1"/>
  <c r="K27" i="1"/>
  <c r="N27" i="1"/>
  <c r="E30" i="1"/>
  <c r="E29" i="1" s="1"/>
  <c r="K29" i="1"/>
  <c r="G31" i="1"/>
  <c r="H31" i="1"/>
  <c r="I31" i="1"/>
  <c r="J32" i="1"/>
  <c r="E34" i="1"/>
  <c r="P34" i="1"/>
  <c r="E36" i="1"/>
  <c r="E35" i="1"/>
  <c r="P35" i="1" s="1"/>
  <c r="E13" i="16"/>
  <c r="E12" i="16" s="1"/>
  <c r="E17" i="16" s="1"/>
  <c r="F13" i="16"/>
  <c r="F12" i="16"/>
  <c r="C14" i="16"/>
  <c r="C15" i="16"/>
  <c r="F20" i="16"/>
  <c r="D21" i="16"/>
  <c r="C21" i="16"/>
  <c r="D22" i="16"/>
  <c r="E22" i="16"/>
  <c r="F22" i="16"/>
  <c r="P21" i="1"/>
  <c r="N18" i="1"/>
  <c r="J18" i="1"/>
  <c r="E18" i="1"/>
  <c r="P18" i="1"/>
  <c r="H23" i="1"/>
  <c r="H15" i="1"/>
  <c r="H14" i="1" s="1"/>
  <c r="H71" i="1" s="1"/>
  <c r="N29" i="1"/>
  <c r="E19" i="16"/>
  <c r="F23" i="16"/>
  <c r="I15" i="1"/>
  <c r="I14" i="1" s="1"/>
  <c r="N35" i="1"/>
  <c r="E33" i="1"/>
  <c r="M15" i="1"/>
  <c r="M14" i="1" s="1"/>
  <c r="E23" i="1"/>
  <c r="P23" i="1" s="1"/>
  <c r="M37" i="1"/>
  <c r="M38" i="1" s="1"/>
  <c r="I37" i="1"/>
  <c r="I38" i="1" s="1"/>
  <c r="D44" i="19"/>
  <c r="C44" i="19" s="1"/>
  <c r="P16" i="1"/>
  <c r="N41" i="1"/>
  <c r="J41" i="1" s="1"/>
  <c r="P41" i="1" s="1"/>
  <c r="J27" i="1"/>
  <c r="P28" i="1"/>
  <c r="N56" i="1"/>
  <c r="J57" i="1"/>
  <c r="P27" i="1"/>
  <c r="K56" i="1"/>
  <c r="J56" i="1" s="1"/>
  <c r="C59" i="19"/>
  <c r="E54" i="19"/>
  <c r="E38" i="19" s="1"/>
  <c r="C54" i="19"/>
  <c r="M71" i="1"/>
  <c r="I71" i="1"/>
  <c r="P36" i="1"/>
  <c r="J29" i="1"/>
  <c r="P30" i="1"/>
  <c r="J23" i="1"/>
  <c r="N15" i="1"/>
  <c r="N14" i="1" s="1"/>
  <c r="J17" i="1"/>
  <c r="P29" i="1"/>
  <c r="J59" i="1"/>
  <c r="P59" i="1" s="1"/>
  <c r="E17" i="1"/>
  <c r="P17" i="1"/>
  <c r="N61" i="1"/>
  <c r="H38" i="8"/>
  <c r="H10" i="18"/>
  <c r="H11" i="18"/>
  <c r="J69" i="1"/>
  <c r="P69" i="1"/>
  <c r="F17" i="16"/>
  <c r="E23" i="16"/>
  <c r="P39" i="1" l="1"/>
  <c r="G10" i="18"/>
  <c r="G11" i="18"/>
  <c r="J15" i="1"/>
  <c r="J14" i="1" s="1"/>
  <c r="L15" i="1"/>
  <c r="L14" i="1" s="1"/>
  <c r="L71" i="1" s="1"/>
  <c r="F31" i="1"/>
  <c r="E31" i="1" s="1"/>
  <c r="P31" i="1" s="1"/>
  <c r="E32" i="1"/>
  <c r="P32" i="1" s="1"/>
  <c r="E47" i="1"/>
  <c r="F44" i="1"/>
  <c r="E56" i="1"/>
  <c r="P56" i="1" s="1"/>
  <c r="P63" i="1"/>
  <c r="N65" i="1"/>
  <c r="J66" i="1"/>
  <c r="C41" i="19"/>
  <c r="D39" i="19"/>
  <c r="F38" i="8"/>
  <c r="C13" i="16"/>
  <c r="N37" i="1"/>
  <c r="N38" i="1" s="1"/>
  <c r="D10" i="19"/>
  <c r="P57" i="1"/>
  <c r="P50" i="1"/>
  <c r="F58" i="19"/>
  <c r="F62" i="19" s="1"/>
  <c r="F67" i="19" s="1"/>
  <c r="P22" i="1"/>
  <c r="F19" i="16"/>
  <c r="F18" i="16"/>
  <c r="E18" i="16"/>
  <c r="D12" i="16"/>
  <c r="P68" i="1"/>
  <c r="K15" i="1"/>
  <c r="K14" i="1" s="1"/>
  <c r="D20" i="16"/>
  <c r="C20" i="16" s="1"/>
  <c r="O56" i="1"/>
  <c r="O37" i="1" s="1"/>
  <c r="O38" i="1" s="1"/>
  <c r="J48" i="1"/>
  <c r="J44" i="1" s="1"/>
  <c r="K44" i="1"/>
  <c r="P42" i="1"/>
  <c r="N53" i="1"/>
  <c r="J54" i="1"/>
  <c r="E10" i="19"/>
  <c r="E62" i="19" s="1"/>
  <c r="E67" i="19" s="1"/>
  <c r="D64" i="19"/>
  <c r="C65" i="19"/>
  <c r="K61" i="1"/>
  <c r="E58" i="1"/>
  <c r="P58" i="1" s="1"/>
  <c r="F56" i="1"/>
  <c r="F37" i="1" s="1"/>
  <c r="E37" i="1" l="1"/>
  <c r="E38" i="1" s="1"/>
  <c r="F38" i="1"/>
  <c r="C64" i="19"/>
  <c r="D63" i="19"/>
  <c r="C63" i="19" s="1"/>
  <c r="J53" i="1"/>
  <c r="P53" i="1" s="1"/>
  <c r="P54" i="1"/>
  <c r="E44" i="1"/>
  <c r="P44" i="1" s="1"/>
  <c r="P47" i="1"/>
  <c r="N71" i="1"/>
  <c r="P37" i="1"/>
  <c r="P38" i="1" s="1"/>
  <c r="K37" i="1"/>
  <c r="K38" i="1" s="1"/>
  <c r="K71" i="1"/>
  <c r="D23" i="16"/>
  <c r="C23" i="16" s="1"/>
  <c r="D17" i="16"/>
  <c r="C17" i="16" s="1"/>
  <c r="D19" i="16"/>
  <c r="C19" i="16" s="1"/>
  <c r="D18" i="16"/>
  <c r="C18" i="16" s="1"/>
  <c r="C12" i="16"/>
  <c r="C10" i="19"/>
  <c r="D38" i="19"/>
  <c r="C38" i="19" s="1"/>
  <c r="C39" i="19"/>
  <c r="P66" i="1"/>
  <c r="J65" i="1"/>
  <c r="P65" i="1" s="1"/>
  <c r="F15" i="1"/>
  <c r="P48" i="1"/>
  <c r="O71" i="1"/>
  <c r="E15" i="1" l="1"/>
  <c r="F14" i="1"/>
  <c r="F71" i="1" s="1"/>
  <c r="D62" i="19"/>
  <c r="J37" i="1"/>
  <c r="J38" i="1" l="1"/>
  <c r="J71" i="1"/>
  <c r="D67" i="19"/>
  <c r="C67" i="19" s="1"/>
  <c r="C62" i="19"/>
  <c r="E14" i="1"/>
  <c r="P15" i="1"/>
  <c r="P14" i="1" l="1"/>
  <c r="E71" i="1"/>
  <c r="P71" i="1" s="1"/>
</calcChain>
</file>

<file path=xl/sharedStrings.xml><?xml version="1.0" encoding="utf-8"?>
<sst xmlns="http://schemas.openxmlformats.org/spreadsheetml/2006/main" count="484" uniqueCount="306">
  <si>
    <t>Код</t>
  </si>
  <si>
    <t>Найменування 
згідно з класифікацією фінансування бюджету</t>
  </si>
  <si>
    <t>Загальне фінансування</t>
  </si>
  <si>
    <t>Фінансування за активними операціями</t>
  </si>
  <si>
    <t>Зміни обсягів бюджетних коштів</t>
  </si>
  <si>
    <t>На початок періоду</t>
  </si>
  <si>
    <t>-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</si>
  <si>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</si>
  <si>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</si>
  <si>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</si>
  <si>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</si>
  <si>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</si>
  <si>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</si>
  <si>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</si>
  <si>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</si>
  <si>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</si>
  <si>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0111</t>
  </si>
  <si>
    <t>в т.ч. бюджет розвитку</t>
  </si>
  <si>
    <t>бюджет розвитку</t>
  </si>
  <si>
    <t xml:space="preserve">Всього </t>
  </si>
  <si>
    <t>Найменування місцевої (регіональної) програми</t>
  </si>
  <si>
    <t>0490</t>
  </si>
  <si>
    <r>
      <t>Код ТПКВКМБ /
ТКВКБМС</t>
    </r>
    <r>
      <rPr>
        <vertAlign val="superscript"/>
        <sz val="8"/>
        <rFont val="Times New Roman"/>
        <family val="1"/>
        <charset val="204"/>
      </rPr>
      <t>2</t>
    </r>
  </si>
  <si>
    <r>
      <t>Код ФКВКБ</t>
    </r>
    <r>
      <rPr>
        <strike/>
        <vertAlign val="superscript"/>
        <sz val="8"/>
        <rFont val="Times New Roman"/>
        <family val="1"/>
        <charset val="204"/>
      </rPr>
      <t>3</t>
    </r>
  </si>
  <si>
    <t>грн.</t>
  </si>
  <si>
    <t>0910</t>
  </si>
  <si>
    <t>Соціальний захист та соціальне забезпечення</t>
  </si>
  <si>
    <t>1090</t>
  </si>
  <si>
    <t>Культура і мистецтво</t>
  </si>
  <si>
    <t>0828</t>
  </si>
  <si>
    <t>Фізична культура і спорт</t>
  </si>
  <si>
    <t>0810</t>
  </si>
  <si>
    <t>Житлово-комунальне господарство</t>
  </si>
  <si>
    <t>0620</t>
  </si>
  <si>
    <t xml:space="preserve"> грн.</t>
  </si>
  <si>
    <t>Фінансування за рахунок змін залишків коштів бюджета</t>
  </si>
  <si>
    <t>На кінець періоду</t>
  </si>
  <si>
    <t>Кошти, що передаються з загального фонду бюджету до бюджету розвитку (спеціальний фонд)</t>
  </si>
  <si>
    <t>Всього фінансування бюджета за типом кредитора</t>
  </si>
  <si>
    <t>Всього фінансування бюджета за типом боргового зобов'язання</t>
  </si>
  <si>
    <t>Забезпечення діяльності місцевих центрів фізичного здоров'я населення  "Спорт для всіх" та проведення фізкультурно-масових заходів серед населення регіону</t>
  </si>
  <si>
    <t>1050</t>
  </si>
  <si>
    <t>Організація та проведення громадських робіт</t>
  </si>
  <si>
    <t>0150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</si>
  <si>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 </t>
  </si>
  <si>
    <t>Надання дошкільної освіти</t>
  </si>
  <si>
    <t>1000</t>
  </si>
  <si>
    <t>Освіта</t>
  </si>
  <si>
    <t>0950</t>
  </si>
  <si>
    <t>Підвищення кваліфікації, перепідготовка кадрів закладами післядипломної  освіти</t>
  </si>
  <si>
    <t>0829</t>
  </si>
  <si>
    <t>Організація благоустрою населених пунктів</t>
  </si>
  <si>
    <t>Будівництво та регіональний розвиток</t>
  </si>
  <si>
    <t>Інші програми та заходи, пов'язані з економічною діяльністю</t>
  </si>
  <si>
    <t>Експлуатація та технічне обслуговування житлового фонду</t>
  </si>
  <si>
    <t>0443</t>
  </si>
  <si>
    <t>Будівництво об'єктів житлово-комунального господарства</t>
  </si>
  <si>
    <t xml:space="preserve">Охорона навколишнього природного середовища </t>
  </si>
  <si>
    <t>0540</t>
  </si>
  <si>
    <t>Інші заходи, пов'язані з економічною діяльністю</t>
  </si>
  <si>
    <t>Забезпечення діяльності палаців і будинків культури, клубів, центрів дозвілля та інших клубних закладів</t>
  </si>
  <si>
    <t>Будівництво інших обєктів соціальної та виробничої інфраструктури комунальної власності</t>
  </si>
  <si>
    <t xml:space="preserve">Інші  заходи у сфері соціального захисту і соціального забезпечення </t>
  </si>
  <si>
    <t>Забезпечення діяльності інших закладів в галузі культури і мистецтва</t>
  </si>
  <si>
    <t>Інші  заходи в галузі культури і мистецтва</t>
  </si>
  <si>
    <t>Сільське, лісове, рибне господарство та мисливство</t>
  </si>
  <si>
    <t>0421</t>
  </si>
  <si>
    <t>Здійснення заходів із землеустрою</t>
  </si>
  <si>
    <t>Розроблення схем планування та забудови територій (містобудівної документації)</t>
  </si>
  <si>
    <t>Усього</t>
  </si>
  <si>
    <t>Найменування головного розпорядника коштів місцевого бюджету, відповідального виконавця, найменування  бюджетної програми згідно з Типовою програмною класифікацією видатків та кредитивуння місцевих бюджетів</t>
  </si>
  <si>
    <t>0110150</t>
  </si>
  <si>
    <t>0111000</t>
  </si>
  <si>
    <t>0111010</t>
  </si>
  <si>
    <t>0111140</t>
  </si>
  <si>
    <t>0113000</t>
  </si>
  <si>
    <t>0113210</t>
  </si>
  <si>
    <t>0113242</t>
  </si>
  <si>
    <t>0114000</t>
  </si>
  <si>
    <t>0114060</t>
  </si>
  <si>
    <t>0114081</t>
  </si>
  <si>
    <t>0114082</t>
  </si>
  <si>
    <t>0115000</t>
  </si>
  <si>
    <t>0115061</t>
  </si>
  <si>
    <t>0116000</t>
  </si>
  <si>
    <t>0116030</t>
  </si>
  <si>
    <t>0117100</t>
  </si>
  <si>
    <t>0117130</t>
  </si>
  <si>
    <t>0117300</t>
  </si>
  <si>
    <t>0117350</t>
  </si>
  <si>
    <t>0117600</t>
  </si>
  <si>
    <t>0117693</t>
  </si>
  <si>
    <t>Інша діяльність  у сфері екології та охорони природних ресурсів</t>
  </si>
  <si>
    <t>Код  Програмної класифікації видатків та кредитування місцевих бюджетів</t>
  </si>
  <si>
    <r>
      <t>Розподіл витрат міського бюджету на реалізацію місцевих програм  у  2019 році</t>
    </r>
    <r>
      <rPr>
        <b/>
        <sz val="14"/>
        <rFont val="Times New Roman"/>
        <family val="1"/>
        <charset val="204"/>
      </rPr>
      <t xml:space="preserve">
</t>
    </r>
  </si>
  <si>
    <t>Найменування головного розпорядника коштів місцевого бюджету, відповідального виконавця, найменування бюджетної програми згідно з типовою  програмною класифікацією видатків та кредитування місцевих бюджетів</t>
  </si>
  <si>
    <t>Дата та номер документа, яким затверджено місцеву регіональну програму</t>
  </si>
  <si>
    <t>Програма сприяння діяльності співвласників багатоквартирних будинків на території м. Волноваха на 2019 рік</t>
  </si>
  <si>
    <t xml:space="preserve">Програма охорони навколишнього природного середовища м. Волноваха на 2019 рік </t>
  </si>
  <si>
    <t xml:space="preserve">Програма з охорони та раціонального використання земель м. Волноваха на 2019 рік </t>
  </si>
  <si>
    <t>Програма розвитку житлово-комунального господарства м. Волноваха на 2019 рік</t>
  </si>
  <si>
    <t>Код ФКВКБ</t>
  </si>
  <si>
    <t>Код ТПКВКМБ /
ТКВКБМС</t>
  </si>
  <si>
    <t>Додаток 2</t>
  </si>
  <si>
    <t>Додаток 3</t>
  </si>
  <si>
    <t xml:space="preserve">Міська рада </t>
  </si>
  <si>
    <t>Міська рада</t>
  </si>
  <si>
    <t>0100000</t>
  </si>
  <si>
    <t>0110000</t>
  </si>
  <si>
    <t>0210000</t>
  </si>
  <si>
    <t>Військово-цивільна адміністрація м. Волноваха Волноваського району Донецької області</t>
  </si>
  <si>
    <t>0210150</t>
  </si>
  <si>
    <t>0211000</t>
  </si>
  <si>
    <t>0211010</t>
  </si>
  <si>
    <t>0211140</t>
  </si>
  <si>
    <t>0213000</t>
  </si>
  <si>
    <t>0213210</t>
  </si>
  <si>
    <t>0213242</t>
  </si>
  <si>
    <t>0214000</t>
  </si>
  <si>
    <t>0214060</t>
  </si>
  <si>
    <t>0214081</t>
  </si>
  <si>
    <t>0214082</t>
  </si>
  <si>
    <t>0215000</t>
  </si>
  <si>
    <t>0215061</t>
  </si>
  <si>
    <t>0216000</t>
  </si>
  <si>
    <t>0216011</t>
  </si>
  <si>
    <t>0216030</t>
  </si>
  <si>
    <t>0217300</t>
  </si>
  <si>
    <t>0217310</t>
  </si>
  <si>
    <t>0217330</t>
  </si>
  <si>
    <t>Розподіл видатків  міського бюджету міста Волноваха на 2019 рік</t>
  </si>
  <si>
    <t>Джерела фінансування міського  бюджету міста Волноваха  на 2019 рік</t>
  </si>
  <si>
    <t>0180</t>
  </si>
  <si>
    <t>0210180</t>
  </si>
  <si>
    <t>0213090</t>
  </si>
  <si>
    <t>1030</t>
  </si>
  <si>
    <t>0133</t>
  </si>
  <si>
    <t>Інша діяльність у сфері державного управління</t>
  </si>
  <si>
    <t>0200000</t>
  </si>
  <si>
    <t>Видатки на поховання учасників бойових дій та осіб з інваліністю внаслідок  війни</t>
  </si>
  <si>
    <t>0218330</t>
  </si>
  <si>
    <t>0218300</t>
  </si>
  <si>
    <t>0217693</t>
  </si>
  <si>
    <t>0217600</t>
  </si>
  <si>
    <t xml:space="preserve">Керівник                                                  військово-цивільної адміністрації                                                          </t>
  </si>
  <si>
    <t xml:space="preserve">Керівник                                                                     військово-цивільної адміністрації                                                                                                          </t>
  </si>
  <si>
    <t xml:space="preserve">Керівник                                                                           військово-цивільної адміністрації                                                                                                                                                                                                                                </t>
  </si>
  <si>
    <t>до розпорядження</t>
  </si>
  <si>
    <t>Видатки на поховання учасників бойових дій та осіб з інвалідністю внаслідок  війни</t>
  </si>
  <si>
    <t>Додаток 6</t>
  </si>
  <si>
    <t>адміністрації м. Волноваха</t>
  </si>
  <si>
    <t xml:space="preserve">керівника військово-цивільної 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</si>
  <si>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</si>
  <si>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</si>
  <si>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від 02.04.2019 №9</t>
  </si>
  <si>
    <t xml:space="preserve">Програма соціального захисту  населення м. Волноваха на 2019 рік </t>
  </si>
  <si>
    <t>Програма розвитку культури в м. Волноваха на 2019 рік</t>
  </si>
  <si>
    <t xml:space="preserve">Программа розвитку фізичної культури та спорту  м. Волноваха на 2019 рік </t>
  </si>
  <si>
    <t>Програма по плануванню та забудові території м. Волноваха на 2019 рік</t>
  </si>
  <si>
    <t>від 14.05.2019 №108</t>
  </si>
  <si>
    <t>від 02.04.2019 №9 із змінами, внесеними 20.05.2019 №116)</t>
  </si>
  <si>
    <t>0213140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</si>
  <si>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</si>
  <si>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</si>
  <si>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0217130</t>
  </si>
  <si>
    <t>0217100</t>
  </si>
  <si>
    <t>0217350</t>
  </si>
  <si>
    <t>0219770</t>
  </si>
  <si>
    <t>Інші субвенції з місцевого бюджету</t>
  </si>
  <si>
    <t xml:space="preserve">Програма «Оздоровлення та відпочинку дітей військово-цивільної адміністрації м. Волноваха на 2019 рік». </t>
  </si>
  <si>
    <t>Додаток 4</t>
  </si>
  <si>
    <t>Міжбюджетні трансферти    міського  бюджету міста Волноваха   на 2019 рік</t>
  </si>
  <si>
    <t>(грн)</t>
  </si>
  <si>
    <t>O2</t>
  </si>
  <si>
    <t xml:space="preserve">Код </t>
  </si>
  <si>
    <t xml:space="preserve">Найменування  бюджету - одержувача/надавача міжбюджетного трансферту  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</si>
  <si>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</si>
  <si>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</si>
  <si>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</si>
  <si>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</si>
  <si>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</si>
  <si>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дотація на:</t>
  </si>
  <si>
    <t>загального фонду на:</t>
  </si>
  <si>
    <t>спеціального фонду на:</t>
  </si>
  <si>
    <t>О3</t>
  </si>
  <si>
    <t>найменування трансферту</t>
  </si>
  <si>
    <t>О4</t>
  </si>
  <si>
    <t>надання дошкільної освіти</t>
  </si>
  <si>
    <t>культуру і мистецтво</t>
  </si>
  <si>
    <t>О5</t>
  </si>
  <si>
    <t>Міський бюджет міста Волноваха</t>
  </si>
  <si>
    <t>25959639</t>
  </si>
  <si>
    <t>6800337</t>
  </si>
  <si>
    <t>співфінансування капітального ремонту нежитлової будівлі, Дитячий садок № 8 за адресою: вул.Менделєєва,19 м.Волноваха Донецької області</t>
  </si>
  <si>
    <t>Районний бюджет</t>
  </si>
  <si>
    <t>Додаток 1</t>
  </si>
  <si>
    <t>І.В. Лубінець</t>
  </si>
  <si>
    <t>від 31.05.2019 №142</t>
  </si>
  <si>
    <t xml:space="preserve">Програма по локалізації та ліквідації амброзії полинолистої та інших карантинних рослин в м. Волноваха на 2019 рік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</si>
  <si>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</si>
  <si>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Програми економічного і  соціального розвитку міста Волноваха на 2019 рік</t>
  </si>
  <si>
    <t>від 02.04.2019 №9 із змінами, внесеними 06.06.2019 №151)</t>
  </si>
  <si>
    <t>від 06.06.2019 №149</t>
  </si>
  <si>
    <t>Додаток 5</t>
  </si>
  <si>
    <t>керівника військово-цивільної</t>
  </si>
  <si>
    <t>Найменування головного розпорядника коштів місцевого бюджету/ відповідального виконавця, найменування бюджетної програми
згідно з типовою програмною класифікацією видатків та кредитування місцевих бюджетів</t>
  </si>
  <si>
    <t xml:space="preserve">Назва об’єктів відповідно  до проектно- кошторисної документації </t>
  </si>
  <si>
    <t>Обсяг видатків бюджету розвитку, гривень</t>
  </si>
  <si>
    <t>Рівень будівельної готовності обєкта на кінець бюджетного періоду,%</t>
  </si>
  <si>
    <t>Реконструкція мережі вуличного освітлення</t>
  </si>
  <si>
    <t>Реконструкція третього поверху адмінбудівлі Волноваської міської ради по вул. Центральній, 88 в м. Волноваха Волноваського району Донецької області</t>
  </si>
  <si>
    <t>2018-2019</t>
  </si>
  <si>
    <t xml:space="preserve">Усього </t>
  </si>
  <si>
    <t>Керівник</t>
  </si>
  <si>
    <t>військово-цивільної адміністрації</t>
  </si>
  <si>
    <r>
      <t>Розподіл коштів бюджету розвитку за об</t>
    </r>
    <r>
      <rPr>
        <b/>
        <vertAlign val="superscript"/>
        <sz val="16"/>
        <rFont val="Arial Cyr"/>
        <charset val="204"/>
      </rPr>
      <t>’</t>
    </r>
    <r>
      <rPr>
        <b/>
        <vertAlign val="superscript"/>
        <sz val="16"/>
        <rFont val="Times New Roman"/>
        <family val="1"/>
        <charset val="204"/>
      </rPr>
      <t>єктами у 2019 році</t>
    </r>
  </si>
  <si>
    <r>
      <t>Код ТПКВКМБ /
ТКВКБМС</t>
    </r>
    <r>
      <rPr>
        <vertAlign val="superscript"/>
        <sz val="9"/>
        <rFont val="Times New Roman"/>
        <family val="1"/>
        <charset val="204"/>
      </rPr>
      <t>3</t>
    </r>
  </si>
  <si>
    <r>
      <t>Код ФКВКБ</t>
    </r>
    <r>
      <rPr>
        <vertAlign val="superscript"/>
        <sz val="9"/>
        <rFont val="Times New Roman"/>
        <family val="1"/>
        <charset val="204"/>
      </rPr>
      <t>4</t>
    </r>
  </si>
  <si>
    <t>Строк реалізації об’єкта (рік початку і завершення)</t>
  </si>
  <si>
    <t>Загальна вартість об’єкта, гривень</t>
  </si>
  <si>
    <t>Доходи міського бюджету міста Волноваха на 2019 рік</t>
  </si>
  <si>
    <t>Найменування згідно
 з класифікацією доходів бюджету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</si>
  <si>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</si>
  <si>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</si>
  <si>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</si>
  <si>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</si>
  <si>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</si>
  <si>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Внутрішні податки на товари та послуги</t>
  </si>
  <si>
    <t>Пальне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</si>
  <si>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</si>
  <si>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</si>
  <si>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</si>
  <si>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</si>
  <si>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</si>
  <si>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</si>
  <si>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</si>
  <si>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</si>
  <si>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</si>
  <si>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</si>
  <si>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</si>
  <si>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</si>
  <si>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</si>
  <si>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</si>
  <si>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</si>
  <si>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 яких частка сільськогосподарського товаровиробництва за попередній податковий (звітний) рік  дорівнює або  перевищує 75  відсотків</t>
  </si>
  <si>
    <t>Інші податки та збори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</si>
  <si>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</si>
  <si>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r>
      <t>Надходження від скидів забруднюючих речовин безпосередньо у водні об</t>
    </r>
    <r>
      <rPr>
        <sz val="9"/>
        <rFont val="Arial Cyr"/>
        <charset val="204"/>
      </rPr>
      <t>’</t>
    </r>
    <r>
      <rPr>
        <sz val="9"/>
        <rFont val="Times New Roman"/>
        <family val="1"/>
        <charset val="204"/>
      </rPr>
      <t>єкти</t>
    </r>
  </si>
  <si>
    <t>Надходження від розміщення відходів у спеціально відведених для цього місцях чи на  об'єктах, крім розміщення окремих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</si>
  <si>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</si>
  <si>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</si>
  <si>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</si>
  <si>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</si>
  <si>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</si>
  <si>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 законодавства у сфері виробництва 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</si>
  <si>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</si>
  <si>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</si>
  <si>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</si>
  <si>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</si>
  <si>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</si>
  <si>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</si>
  <si>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</si>
  <si>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</si>
  <si>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</t>
  </si>
  <si>
    <r>
      <t>Державне мито, пов</t>
    </r>
    <r>
      <rPr>
        <sz val="9"/>
        <rFont val="Arial Cyr"/>
        <charset val="204"/>
      </rPr>
      <t>‘</t>
    </r>
    <r>
      <rPr>
        <sz val="9"/>
        <rFont val="Times New Roman"/>
        <family val="1"/>
        <charset val="204"/>
      </rPr>
      <t>язане з видачею та оформленням закордонних паспортів (посвідок) та паспортів громадян України</t>
    </r>
  </si>
  <si>
    <t>Власні надходження бюджетних установ</t>
  </si>
  <si>
    <t>Надходження вiд плати за послуги, що надаються бюджетними установами згiдно iз законодавством</t>
  </si>
  <si>
    <t>Плата за послуги, що надаються бюджетними установами згiдно з їх основною дiяльнiстю</t>
  </si>
  <si>
    <t>Плата за оренду майна бюджетних установ</t>
  </si>
  <si>
    <t>Доходи від операцій з капіталом</t>
  </si>
  <si>
    <t>Надходження від продажу землі і нематеріальних активів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</si>
  <si>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</si>
  <si>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</si>
  <si>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Усього доходів</t>
  </si>
  <si>
    <t>Офіційні трансферти</t>
  </si>
  <si>
    <t>Від органів державного управління</t>
  </si>
  <si>
    <t>Дотації з місцевих бюджетів іншим місцевим бюджетам</t>
  </si>
  <si>
    <t>Інші дотації з місцевого бюджету</t>
  </si>
  <si>
    <t>Разом доходів</t>
  </si>
  <si>
    <t xml:space="preserve">Керівник                                                 військово-цивільної адміністрації                                                         </t>
  </si>
  <si>
    <t>І.В.  Лубінець</t>
  </si>
  <si>
    <t>0217363</t>
  </si>
  <si>
    <t>Реалізація інвестиційних програм і проектів за рахунок субвенції  на здійснення заходів щодо соціально-економічного розвитку окремих територій</t>
  </si>
  <si>
    <t>від 02.04.2019 №9 із змінами, внесеними 13.08.2019 №254)</t>
  </si>
  <si>
    <t>13.08.2019 №253</t>
  </si>
  <si>
    <t>Програма по забезпеченню правопорядку на території м. Волноваха "Правопорядок-2019", розділ "Правопорядок-2019" Програми економічного і  соціального розвитку міста Волноваха на 2019 рік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</si>
  <si>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</si>
  <si>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</si>
  <si>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>Програма забезпечення мінімально достатнього рівня безпеки населення і території м. Волноваха  від  надзвичайних ситуацій техногенного та природного характеру на 2019 рік, розділ "Технічне переоснащення та удосконалення системи реагування на надзвичайні ситуації" Програми економічного і соціального розвитку міста Волноваха на 2019 рік</t>
  </si>
  <si>
    <t>Програма сприяння та допомоги Волноваському підрозділу Волновасько-Мангушського управління Головного управління ДФС у Донецькій області на 2019 рік, розділ "Сприяння та допомога Волноваському підрозділу Волновасько-Мангушського управління Головного управління ДФС у Донецькій області" Програми економічного і соціального розвитку міста Волноваха на 2019 рік</t>
  </si>
  <si>
    <t xml:space="preserve"> "Реконструкція  концертної сцени на площі Незалежності, 1 в м. Волноваха" </t>
  </si>
  <si>
    <r>
      <t>Будівництво інших об</t>
    </r>
    <r>
      <rPr>
        <sz val="10"/>
        <rFont val="Calibri"/>
        <family val="2"/>
        <charset val="204"/>
      </rPr>
      <t>’</t>
    </r>
    <r>
      <rPr>
        <sz val="10"/>
        <rFont val="Times New Roman"/>
        <family val="1"/>
        <charset val="204"/>
      </rPr>
      <t>єктів соціальної та виробничої інфраструктури комунальної власності</t>
    </r>
  </si>
  <si>
    <t>Реконструкція тротуару по вул. Менделєєва в м. Волноваха</t>
  </si>
  <si>
    <t>Будівництво тротуару по вул. Чижевського в м. Волноваха</t>
  </si>
  <si>
    <t>від 02.04.2019 №9 (із змінами, внесеними 06.06.2019 №151)</t>
  </si>
  <si>
    <t>від 02.04.2019 №9 (із змінами, внесеними 13.08.2019 №254)</t>
  </si>
  <si>
    <t>від 02.04.2019 №9 (із внесеними змінами 07.08.2019 №228)</t>
  </si>
  <si>
    <t>від 02.04.2019 №9( із змінами, внесеними 22.07.2019 №213)</t>
  </si>
  <si>
    <t xml:space="preserve">Програма соціального захисту і підтримки дітей-сиріт та дітей, позбавлених батьківського піклування,попередження дитячої бездоглядності та безпритульності на 2019 рік в м. Волноваха </t>
  </si>
  <si>
    <t>2730</t>
  </si>
  <si>
    <t>від 14.08.2019 №262</t>
  </si>
  <si>
    <r>
      <t xml:space="preserve">від </t>
    </r>
    <r>
      <rPr>
        <u/>
        <sz val="10"/>
        <rFont val="Times New Roman"/>
        <family val="1"/>
        <charset val="204"/>
      </rPr>
      <t>22.08.2019</t>
    </r>
    <r>
      <rPr>
        <sz val="10"/>
        <rFont val="Times New Roman"/>
        <family val="1"/>
        <charset val="204"/>
      </rPr>
      <t xml:space="preserve"> № </t>
    </r>
    <r>
      <rPr>
        <u/>
        <sz val="10"/>
        <rFont val="Times New Roman"/>
        <family val="1"/>
        <charset val="204"/>
      </rPr>
      <t>270</t>
    </r>
  </si>
  <si>
    <r>
      <t xml:space="preserve">від  </t>
    </r>
    <r>
      <rPr>
        <u/>
        <sz val="10"/>
        <rFont val="Times New Roman"/>
        <family val="1"/>
        <charset val="204"/>
      </rPr>
      <t>22.08.2019</t>
    </r>
    <r>
      <rPr>
        <sz val="10"/>
        <rFont val="Times New Roman"/>
        <family val="1"/>
        <charset val="204"/>
      </rPr>
      <t xml:space="preserve"> №270                                                                   </t>
    </r>
  </si>
  <si>
    <r>
      <t xml:space="preserve">від </t>
    </r>
    <r>
      <rPr>
        <u/>
        <sz val="11"/>
        <rFont val="Times New Roman"/>
        <family val="1"/>
        <charset val="204"/>
      </rPr>
      <t>22.08.2019</t>
    </r>
    <r>
      <rPr>
        <sz val="11"/>
        <rFont val="Times New Roman"/>
        <family val="1"/>
        <charset val="204"/>
      </rPr>
      <t xml:space="preserve"> №</t>
    </r>
    <r>
      <rPr>
        <u/>
        <sz val="11"/>
        <rFont val="Times New Roman"/>
        <family val="1"/>
        <charset val="204"/>
      </rPr>
      <t>270</t>
    </r>
  </si>
  <si>
    <r>
      <t xml:space="preserve">від </t>
    </r>
    <r>
      <rPr>
        <u/>
        <sz val="10"/>
        <rFont val="Times New Roman"/>
        <family val="1"/>
        <charset val="204"/>
      </rPr>
      <t>22.08.2019</t>
    </r>
    <r>
      <rPr>
        <sz val="10"/>
        <rFont val="Times New Roman"/>
        <family val="1"/>
        <charset val="204"/>
      </rPr>
      <t xml:space="preserve"> №</t>
    </r>
    <r>
      <rPr>
        <u/>
        <sz val="10"/>
        <rFont val="Times New Roman"/>
        <family val="1"/>
        <charset val="204"/>
      </rPr>
      <t>270</t>
    </r>
  </si>
  <si>
    <r>
      <t xml:space="preserve">від </t>
    </r>
    <r>
      <rPr>
        <u/>
        <sz val="10"/>
        <rFont val="Times New Roman"/>
        <family val="1"/>
        <charset val="204"/>
      </rPr>
      <t xml:space="preserve">22.08.2019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>270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</si>
</sst>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#,##0.0"/>
  </numFmts>
  <fonts count="79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trike/>
      <vertAlign val="superscript"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 Cyr"/>
      <family val="1"/>
      <charset val="204"/>
    </font>
    <font>
      <b/>
      <sz val="16"/>
      <name val="Times New Roman Cyr"/>
      <charset val="204"/>
    </font>
    <font>
      <b/>
      <sz val="14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 CYR"/>
    </font>
    <font>
      <b/>
      <sz val="11"/>
      <name val="Times New Roman Cyr"/>
      <family val="1"/>
      <charset val="204"/>
    </font>
    <font>
      <b/>
      <sz val="10"/>
      <name val="Times New Roman CYR"/>
      <charset val="204"/>
    </font>
    <font>
      <b/>
      <sz val="13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sz val="14"/>
      <name val="Times New Roman"/>
      <charset val="204"/>
    </font>
    <font>
      <b/>
      <vertAlign val="superscript"/>
      <sz val="16"/>
      <name val="Arial Cyr"/>
      <charset val="204"/>
    </font>
    <font>
      <b/>
      <vertAlign val="superscript"/>
      <sz val="16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9"/>
      <name val="Arial Cyr"/>
      <charset val="204"/>
    </font>
    <font>
      <b/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Calibri"/>
      <family val="2"/>
      <charset val="204"/>
    </font>
    <font>
      <u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0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5" fillId="0" borderId="0"/>
    <xf numFmtId="0" fontId="49" fillId="0" borderId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7" fillId="7" borderId="1" applyNumberFormat="0" applyAlignment="0" applyProtection="0"/>
    <xf numFmtId="0" fontId="8" fillId="22" borderId="2" applyNumberFormat="0" applyAlignment="0" applyProtection="0"/>
    <xf numFmtId="0" fontId="16" fillId="22" borderId="1" applyNumberForma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0" fillId="0" borderId="0">
      <alignment vertical="top"/>
    </xf>
    <xf numFmtId="0" fontId="12" fillId="0" borderId="3" applyNumberFormat="0" applyFill="0" applyAlignment="0" applyProtection="0"/>
    <xf numFmtId="0" fontId="10" fillId="23" borderId="4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25" fillId="0" borderId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5" applyNumberFormat="0" applyFont="0" applyAlignment="0" applyProtection="0"/>
    <xf numFmtId="0" fontId="19" fillId="0" borderId="6" applyNumberFormat="0" applyFill="0" applyAlignment="0" applyProtection="0"/>
    <xf numFmtId="0" fontId="24" fillId="0" borderId="0"/>
    <xf numFmtId="0" fontId="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6" fillId="25" borderId="0" applyNumberFormat="0" applyBorder="0" applyAlignment="0" applyProtection="0"/>
    <xf numFmtId="0" fontId="76" fillId="31" borderId="0" applyNumberFormat="0" applyBorder="0" applyAlignment="0" applyProtection="0"/>
    <xf numFmtId="0" fontId="77" fillId="37" borderId="0" applyNumberFormat="0" applyBorder="0" applyAlignment="0" applyProtection="0"/>
    <xf numFmtId="0" fontId="76" fillId="26" borderId="0" applyNumberFormat="0" applyBorder="0" applyAlignment="0" applyProtection="0"/>
    <xf numFmtId="0" fontId="76" fillId="32" borderId="0" applyNumberFormat="0" applyBorder="0" applyAlignment="0" applyProtection="0"/>
    <xf numFmtId="0" fontId="77" fillId="38" borderId="0" applyNumberFormat="0" applyBorder="0" applyAlignment="0" applyProtection="0"/>
    <xf numFmtId="0" fontId="76" fillId="27" borderId="0" applyNumberFormat="0" applyBorder="0" applyAlignment="0" applyProtection="0"/>
    <xf numFmtId="0" fontId="76" fillId="33" borderId="0" applyNumberFormat="0" applyBorder="0" applyAlignment="0" applyProtection="0"/>
    <xf numFmtId="0" fontId="77" fillId="39" borderId="0" applyNumberFormat="0" applyBorder="0" applyAlignment="0" applyProtection="0"/>
    <xf numFmtId="0" fontId="76" fillId="28" borderId="0" applyNumberFormat="0" applyBorder="0" applyAlignment="0" applyProtection="0"/>
    <xf numFmtId="0" fontId="76" fillId="34" borderId="0" applyNumberFormat="0" applyBorder="0" applyAlignment="0" applyProtection="0"/>
    <xf numFmtId="0" fontId="77" fillId="40" borderId="0" applyNumberFormat="0" applyBorder="0" applyAlignment="0" applyProtection="0"/>
    <xf numFmtId="0" fontId="76" fillId="29" borderId="0" applyNumberFormat="0" applyBorder="0" applyAlignment="0" applyProtection="0"/>
    <xf numFmtId="0" fontId="76" fillId="35" borderId="0" applyNumberFormat="0" applyBorder="0" applyAlignment="0" applyProtection="0"/>
    <xf numFmtId="0" fontId="77" fillId="41" borderId="0" applyNumberFormat="0" applyBorder="0" applyAlignment="0" applyProtection="0"/>
    <xf numFmtId="0" fontId="76" fillId="30" borderId="0" applyNumberFormat="0" applyBorder="0" applyAlignment="0" applyProtection="0"/>
    <xf numFmtId="0" fontId="76" fillId="36" borderId="0" applyNumberFormat="0" applyBorder="0" applyAlignment="0" applyProtection="0"/>
    <xf numFmtId="0" fontId="77" fillId="42" borderId="0" applyNumberFormat="0" applyBorder="0" applyAlignment="0" applyProtection="0"/>
  </cellStyleXfs>
  <cellXfs count="288">
    <xf numFmtId="0" fontId="0" fillId="0" borderId="0" xfId="0"/>
    <xf numFmtId="0" fontId="1" fillId="0" borderId="0" xfId="0" applyNumberFormat="1" applyFont="1" applyFill="1" applyAlignment="1" applyProtection="1"/>
    <xf numFmtId="0" fontId="0" fillId="0" borderId="0" xfId="0" applyFill="1"/>
    <xf numFmtId="0" fontId="15" fillId="0" borderId="0" xfId="0" applyFont="1" applyFill="1"/>
    <xf numFmtId="0" fontId="15" fillId="0" borderId="0" xfId="0" applyNumberFormat="1" applyFont="1" applyFill="1" applyAlignment="1" applyProtection="1"/>
    <xf numFmtId="0" fontId="15" fillId="0" borderId="7" xfId="0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</xf>
    <xf numFmtId="0" fontId="15" fillId="0" borderId="0" xfId="0" applyFont="1" applyFill="1" applyAlignment="1">
      <alignment horizontal="center"/>
    </xf>
    <xf numFmtId="0" fontId="4" fillId="0" borderId="7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Alignment="1" applyProtection="1"/>
    <xf numFmtId="0" fontId="21" fillId="0" borderId="0" xfId="0" applyFont="1" applyFill="1"/>
    <xf numFmtId="0" fontId="0" fillId="0" borderId="0" xfId="0" applyFont="1" applyFill="1" applyAlignment="1" applyProtection="1"/>
    <xf numFmtId="0" fontId="1" fillId="0" borderId="0" xfId="0" applyNumberFormat="1" applyFont="1" applyFill="1" applyAlignment="1" applyProtection="1">
      <alignment vertical="top"/>
    </xf>
    <xf numFmtId="0" fontId="0" fillId="0" borderId="0" xfId="0" applyFill="1" applyAlignment="1">
      <alignment vertical="top"/>
    </xf>
    <xf numFmtId="0" fontId="22" fillId="0" borderId="0" xfId="0" applyNumberFormat="1" applyFont="1" applyFill="1" applyAlignment="1" applyProtection="1">
      <alignment vertical="top"/>
    </xf>
    <xf numFmtId="0" fontId="22" fillId="0" borderId="0" xfId="0" applyFont="1" applyFill="1" applyAlignment="1">
      <alignment vertical="top"/>
    </xf>
    <xf numFmtId="0" fontId="37" fillId="0" borderId="0" xfId="0" applyNumberFormat="1" applyFont="1" applyFill="1" applyAlignment="1" applyProtection="1"/>
    <xf numFmtId="0" fontId="37" fillId="0" borderId="0" xfId="0" applyFont="1" applyFill="1"/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vertical="center"/>
    </xf>
    <xf numFmtId="0" fontId="29" fillId="0" borderId="8" xfId="0" applyNumberFormat="1" applyFont="1" applyFill="1" applyBorder="1" applyAlignment="1" applyProtection="1">
      <alignment horizontal="left" vertical="top"/>
    </xf>
    <xf numFmtId="0" fontId="41" fillId="0" borderId="8" xfId="0" applyNumberFormat="1" applyFont="1" applyFill="1" applyBorder="1" applyAlignment="1" applyProtection="1">
      <alignment horizontal="left" vertical="top"/>
    </xf>
    <xf numFmtId="0" fontId="41" fillId="0" borderId="8" xfId="0" applyNumberFormat="1" applyFont="1" applyFill="1" applyBorder="1" applyAlignment="1" applyProtection="1">
      <alignment vertical="top" wrapText="1"/>
    </xf>
    <xf numFmtId="0" fontId="31" fillId="0" borderId="8" xfId="0" applyNumberFormat="1" applyFont="1" applyFill="1" applyBorder="1" applyAlignment="1" applyProtection="1">
      <alignment horizontal="left" vertical="top"/>
    </xf>
    <xf numFmtId="0" fontId="31" fillId="0" borderId="8" xfId="0" applyNumberFormat="1" applyFont="1" applyFill="1" applyBorder="1" applyAlignment="1" applyProtection="1">
      <alignment vertical="top" wrapText="1"/>
    </xf>
    <xf numFmtId="0" fontId="29" fillId="0" borderId="8" xfId="0" applyNumberFormat="1" applyFont="1" applyFill="1" applyBorder="1" applyAlignment="1" applyProtection="1">
      <alignment vertical="top" wrapText="1"/>
    </xf>
    <xf numFmtId="0" fontId="42" fillId="0" borderId="7" xfId="0" applyNumberFormat="1" applyFont="1" applyFill="1" applyBorder="1" applyAlignment="1" applyProtection="1">
      <alignment horizontal="right" vertical="center"/>
    </xf>
    <xf numFmtId="0" fontId="29" fillId="0" borderId="8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justify" vertical="center" wrapText="1"/>
    </xf>
    <xf numFmtId="0" fontId="31" fillId="0" borderId="8" xfId="0" applyFont="1" applyBorder="1" applyAlignment="1">
      <alignment horizontal="center" vertical="center" wrapText="1"/>
    </xf>
    <xf numFmtId="0" fontId="22" fillId="0" borderId="0" xfId="0" applyNumberFormat="1" applyFont="1" applyFill="1" applyAlignment="1" applyProtection="1"/>
    <xf numFmtId="0" fontId="22" fillId="0" borderId="7" xfId="0" applyFont="1" applyFill="1" applyBorder="1" applyAlignment="1">
      <alignment horizontal="center"/>
    </xf>
    <xf numFmtId="49" fontId="31" fillId="0" borderId="8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/>
    <xf numFmtId="0" fontId="15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</xf>
    <xf numFmtId="0" fontId="23" fillId="0" borderId="8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15" fillId="24" borderId="0" xfId="0" applyNumberFormat="1" applyFont="1" applyFill="1" applyAlignment="1" applyProtection="1"/>
    <xf numFmtId="0" fontId="15" fillId="24" borderId="0" xfId="0" applyFont="1" applyFill="1"/>
    <xf numFmtId="0" fontId="22" fillId="24" borderId="8" xfId="0" applyNumberFormat="1" applyFont="1" applyFill="1" applyBorder="1" applyAlignment="1" applyProtection="1">
      <alignment horizontal="center" vertical="center" wrapText="1"/>
    </xf>
    <xf numFmtId="49" fontId="29" fillId="24" borderId="8" xfId="0" applyNumberFormat="1" applyFont="1" applyFill="1" applyBorder="1" applyAlignment="1">
      <alignment horizontal="center" vertical="center" wrapText="1"/>
    </xf>
    <xf numFmtId="0" fontId="29" fillId="24" borderId="8" xfId="0" applyFont="1" applyFill="1" applyBorder="1" applyAlignment="1">
      <alignment horizontal="justify" vertical="center" wrapText="1"/>
    </xf>
    <xf numFmtId="0" fontId="15" fillId="24" borderId="0" xfId="0" applyFont="1" applyFill="1" applyAlignment="1">
      <alignment vertical="center"/>
    </xf>
    <xf numFmtId="0" fontId="31" fillId="24" borderId="8" xfId="0" applyFont="1" applyFill="1" applyBorder="1" applyAlignment="1">
      <alignment vertical="center" wrapText="1"/>
    </xf>
    <xf numFmtId="3" fontId="15" fillId="24" borderId="0" xfId="0" applyNumberFormat="1" applyFont="1" applyFill="1"/>
    <xf numFmtId="3" fontId="38" fillId="24" borderId="8" xfId="49" applyNumberFormat="1" applyFont="1" applyFill="1" applyBorder="1" applyAlignment="1">
      <alignment vertical="center"/>
    </xf>
    <xf numFmtId="0" fontId="31" fillId="24" borderId="8" xfId="0" applyFont="1" applyFill="1" applyBorder="1" applyAlignment="1">
      <alignment horizontal="justify" vertical="center" wrapText="1"/>
    </xf>
    <xf numFmtId="49" fontId="31" fillId="0" borderId="8" xfId="0" applyNumberFormat="1" applyFont="1" applyFill="1" applyBorder="1" applyAlignment="1">
      <alignment horizontal="center" vertical="center" wrapText="1"/>
    </xf>
    <xf numFmtId="192" fontId="33" fillId="0" borderId="8" xfId="0" applyNumberFormat="1" applyFont="1" applyBorder="1" applyAlignment="1">
      <alignment vertical="justify" wrapText="1"/>
    </xf>
    <xf numFmtId="0" fontId="20" fillId="0" borderId="9" xfId="0" applyNumberFormat="1" applyFont="1" applyFill="1" applyBorder="1" applyAlignment="1" applyProtection="1">
      <alignment vertical="center" wrapText="1"/>
    </xf>
    <xf numFmtId="3" fontId="36" fillId="0" borderId="8" xfId="0" applyNumberFormat="1" applyFont="1" applyBorder="1" applyAlignment="1">
      <alignment vertical="center"/>
    </xf>
    <xf numFmtId="3" fontId="38" fillId="0" borderId="8" xfId="49" applyNumberFormat="1" applyFont="1" applyBorder="1">
      <alignment vertical="top"/>
    </xf>
    <xf numFmtId="3" fontId="39" fillId="0" borderId="0" xfId="49" applyNumberFormat="1" applyFont="1" applyFill="1" applyBorder="1">
      <alignment vertical="top"/>
    </xf>
    <xf numFmtId="49" fontId="29" fillId="0" borderId="8" xfId="0" applyNumberFormat="1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vertical="center" wrapText="1"/>
    </xf>
    <xf numFmtId="3" fontId="38" fillId="0" borderId="8" xfId="49" applyNumberFormat="1" applyFont="1" applyFill="1" applyBorder="1" applyAlignment="1">
      <alignment vertical="center"/>
    </xf>
    <xf numFmtId="0" fontId="31" fillId="0" borderId="8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justify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29" fillId="0" borderId="8" xfId="0" applyFont="1" applyFill="1" applyBorder="1" applyAlignment="1">
      <alignment horizontal="justify" vertical="center" wrapText="1"/>
    </xf>
    <xf numFmtId="3" fontId="38" fillId="0" borderId="8" xfId="0" applyNumberFormat="1" applyFont="1" applyFill="1" applyBorder="1" applyAlignment="1">
      <alignment vertical="center"/>
    </xf>
    <xf numFmtId="49" fontId="31" fillId="24" borderId="8" xfId="0" applyNumberFormat="1" applyFont="1" applyFill="1" applyBorder="1" applyAlignment="1">
      <alignment horizontal="center" vertical="center" wrapText="1"/>
    </xf>
    <xf numFmtId="0" fontId="31" fillId="24" borderId="8" xfId="0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29" fillId="0" borderId="10" xfId="0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 wrapText="1"/>
    </xf>
    <xf numFmtId="0" fontId="46" fillId="0" borderId="8" xfId="0" applyFont="1" applyBorder="1" applyAlignment="1">
      <alignment horizontal="center" wrapText="1"/>
    </xf>
    <xf numFmtId="0" fontId="29" fillId="0" borderId="8" xfId="0" applyFont="1" applyBorder="1" applyAlignment="1">
      <alignment horizontal="justify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49" fontId="1" fillId="24" borderId="8" xfId="0" applyNumberFormat="1" applyFont="1" applyFill="1" applyBorder="1" applyAlignment="1" applyProtection="1">
      <alignment vertical="center"/>
    </xf>
    <xf numFmtId="49" fontId="15" fillId="24" borderId="8" xfId="0" applyNumberFormat="1" applyFont="1" applyFill="1" applyBorder="1" applyAlignment="1" applyProtection="1"/>
    <xf numFmtId="0" fontId="21" fillId="0" borderId="8" xfId="0" applyFont="1" applyBorder="1" applyAlignment="1">
      <alignment horizontal="center" vertical="center" wrapText="1"/>
    </xf>
    <xf numFmtId="192" fontId="39" fillId="24" borderId="10" xfId="49" applyNumberFormat="1" applyFont="1" applyFill="1" applyBorder="1" applyAlignment="1">
      <alignment horizontal="center" vertical="center" wrapText="1"/>
    </xf>
    <xf numFmtId="192" fontId="39" fillId="24" borderId="12" xfId="49" applyNumberFormat="1" applyFont="1" applyFill="1" applyBorder="1" applyAlignment="1">
      <alignment vertical="top" wrapText="1"/>
    </xf>
    <xf numFmtId="192" fontId="33" fillId="0" borderId="10" xfId="0" applyNumberFormat="1" applyFont="1" applyBorder="1" applyAlignment="1">
      <alignment vertical="justify" wrapText="1"/>
    </xf>
    <xf numFmtId="49" fontId="1" fillId="0" borderId="8" xfId="0" applyNumberFormat="1" applyFont="1" applyFill="1" applyBorder="1" applyAlignment="1" applyProtection="1">
      <alignment vertical="center"/>
    </xf>
    <xf numFmtId="192" fontId="39" fillId="0" borderId="8" xfId="49" applyNumberFormat="1" applyFont="1" applyBorder="1" applyAlignment="1">
      <alignment horizontal="center" vertical="center" wrapText="1"/>
    </xf>
    <xf numFmtId="0" fontId="37" fillId="0" borderId="0" xfId="0" applyNumberFormat="1" applyFont="1" applyFill="1" applyAlignment="1" applyProtection="1">
      <alignment horizontal="left" vertical="top"/>
    </xf>
    <xf numFmtId="49" fontId="1" fillId="24" borderId="8" xfId="0" applyNumberFormat="1" applyFont="1" applyFill="1" applyBorder="1" applyAlignment="1" applyProtection="1"/>
    <xf numFmtId="49" fontId="1" fillId="24" borderId="11" xfId="0" applyNumberFormat="1" applyFont="1" applyFill="1" applyBorder="1" applyAlignment="1" applyProtection="1"/>
    <xf numFmtId="0" fontId="34" fillId="24" borderId="0" xfId="0" applyNumberFormat="1" applyFont="1" applyFill="1" applyBorder="1" applyAlignment="1" applyProtection="1">
      <alignment horizontal="left" vertical="center" wrapText="1"/>
    </xf>
    <xf numFmtId="49" fontId="20" fillId="24" borderId="8" xfId="0" applyNumberFormat="1" applyFont="1" applyFill="1" applyBorder="1" applyAlignment="1" applyProtection="1">
      <alignment vertical="center"/>
    </xf>
    <xf numFmtId="3" fontId="15" fillId="0" borderId="0" xfId="0" applyNumberFormat="1" applyFont="1" applyFill="1"/>
    <xf numFmtId="49" fontId="20" fillId="0" borderId="8" xfId="0" applyNumberFormat="1" applyFont="1" applyFill="1" applyBorder="1" applyAlignment="1" applyProtection="1">
      <alignment vertical="center"/>
    </xf>
    <xf numFmtId="0" fontId="34" fillId="0" borderId="0" xfId="0" applyFont="1" applyAlignment="1">
      <alignment horizontal="left" vertical="center" wrapText="1"/>
    </xf>
    <xf numFmtId="0" fontId="34" fillId="24" borderId="0" xfId="0" applyNumberFormat="1" applyFont="1" applyFill="1" applyBorder="1" applyAlignment="1" applyProtection="1">
      <alignment vertical="center" wrapText="1"/>
    </xf>
    <xf numFmtId="0" fontId="34" fillId="0" borderId="0" xfId="0" applyFont="1" applyFill="1" applyAlignment="1">
      <alignment horizontal="left" vertical="center" wrapText="1"/>
    </xf>
    <xf numFmtId="0" fontId="35" fillId="0" borderId="8" xfId="0" applyNumberFormat="1" applyFont="1" applyFill="1" applyBorder="1" applyAlignment="1" applyProtection="1">
      <alignment horizontal="left" vertical="center"/>
    </xf>
    <xf numFmtId="192" fontId="39" fillId="24" borderId="8" xfId="49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27" fillId="0" borderId="0" xfId="0" applyFont="1"/>
    <xf numFmtId="0" fontId="0" fillId="24" borderId="0" xfId="0" applyFont="1" applyFill="1"/>
    <xf numFmtId="0" fontId="31" fillId="0" borderId="0" xfId="0" applyFont="1"/>
    <xf numFmtId="0" fontId="31" fillId="0" borderId="0" xfId="0" applyNumberFormat="1" applyFont="1" applyFill="1" applyAlignment="1" applyProtection="1"/>
    <xf numFmtId="0" fontId="51" fillId="0" borderId="0" xfId="0" applyFont="1"/>
    <xf numFmtId="0" fontId="1" fillId="0" borderId="0" xfId="0" applyFont="1"/>
    <xf numFmtId="0" fontId="52" fillId="0" borderId="0" xfId="0" applyFont="1" applyAlignment="1">
      <alignment horizontal="center" vertical="center" wrapText="1"/>
    </xf>
    <xf numFmtId="0" fontId="0" fillId="24" borderId="0" xfId="0" applyFont="1" applyFill="1" applyBorder="1"/>
    <xf numFmtId="0" fontId="54" fillId="0" borderId="0" xfId="0" applyFont="1" applyBorder="1" applyAlignment="1">
      <alignment horizontal="right" vertical="center" wrapText="1"/>
    </xf>
    <xf numFmtId="0" fontId="55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56" fillId="0" borderId="8" xfId="0" applyFont="1" applyBorder="1" applyAlignment="1">
      <alignment horizontal="right"/>
    </xf>
    <xf numFmtId="0" fontId="23" fillId="0" borderId="8" xfId="20" applyFont="1" applyBorder="1" applyAlignment="1">
      <alignment horizontal="right"/>
    </xf>
    <xf numFmtId="0" fontId="23" fillId="0" borderId="10" xfId="20" applyFont="1" applyBorder="1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vertical="center" wrapText="1"/>
    </xf>
    <xf numFmtId="0" fontId="23" fillId="24" borderId="0" xfId="0" applyFont="1" applyFill="1" applyBorder="1" applyAlignment="1">
      <alignment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vertical="center" wrapText="1"/>
    </xf>
    <xf numFmtId="0" fontId="57" fillId="0" borderId="11" xfId="0" applyFont="1" applyBorder="1" applyAlignment="1">
      <alignment horizontal="center" vertical="center" wrapText="1"/>
    </xf>
    <xf numFmtId="0" fontId="31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27" fillId="0" borderId="8" xfId="0" applyFont="1" applyBorder="1"/>
    <xf numFmtId="0" fontId="1" fillId="0" borderId="8" xfId="0" applyFont="1" applyBorder="1" applyAlignment="1">
      <alignment horizontal="center" vertical="center" wrapText="1"/>
    </xf>
    <xf numFmtId="0" fontId="58" fillId="0" borderId="8" xfId="0" applyFont="1" applyBorder="1" applyAlignment="1">
      <alignment horizontal="right"/>
    </xf>
    <xf numFmtId="0" fontId="29" fillId="0" borderId="8" xfId="20" applyFont="1" applyBorder="1" applyAlignment="1">
      <alignment horizontal="right"/>
    </xf>
    <xf numFmtId="0" fontId="29" fillId="0" borderId="10" xfId="20" applyFont="1" applyBorder="1" applyAlignment="1">
      <alignment horizontal="center"/>
    </xf>
    <xf numFmtId="0" fontId="34" fillId="0" borderId="8" xfId="0" applyFont="1" applyBorder="1" applyAlignment="1">
      <alignment wrapText="1"/>
    </xf>
    <xf numFmtId="0" fontId="0" fillId="0" borderId="8" xfId="0" applyFont="1" applyBorder="1"/>
    <xf numFmtId="0" fontId="59" fillId="0" borderId="8" xfId="0" applyFont="1" applyBorder="1" applyAlignment="1">
      <alignment horizontal="right"/>
    </xf>
    <xf numFmtId="0" fontId="29" fillId="0" borderId="8" xfId="20" applyFont="1" applyBorder="1" applyAlignment="1">
      <alignment horizontal="right" wrapText="1"/>
    </xf>
    <xf numFmtId="0" fontId="60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0" fillId="0" borderId="8" xfId="0" applyFont="1" applyBorder="1" applyAlignment="1">
      <alignment horizontal="right"/>
    </xf>
    <xf numFmtId="0" fontId="1" fillId="0" borderId="8" xfId="0" applyFont="1" applyBorder="1"/>
    <xf numFmtId="0" fontId="61" fillId="0" borderId="0" xfId="0" applyFont="1" applyBorder="1" applyAlignment="1">
      <alignment horizontal="right"/>
    </xf>
    <xf numFmtId="0" fontId="0" fillId="0" borderId="0" xfId="0" applyFont="1" applyBorder="1"/>
    <xf numFmtId="0" fontId="34" fillId="24" borderId="0" xfId="0" applyFont="1" applyFill="1"/>
    <xf numFmtId="2" fontId="61" fillId="0" borderId="0" xfId="0" applyNumberFormat="1" applyFont="1" applyBorder="1" applyAlignment="1">
      <alignment horizontal="right"/>
    </xf>
    <xf numFmtId="2" fontId="0" fillId="0" borderId="0" xfId="0" applyNumberFormat="1" applyFont="1" applyBorder="1"/>
    <xf numFmtId="2" fontId="0" fillId="0" borderId="0" xfId="0" applyNumberFormat="1" applyFont="1"/>
    <xf numFmtId="0" fontId="62" fillId="0" borderId="17" xfId="0" applyFont="1" applyBorder="1" applyAlignment="1">
      <alignment horizontal="center"/>
    </xf>
    <xf numFmtId="4" fontId="34" fillId="24" borderId="11" xfId="0" applyNumberFormat="1" applyFont="1" applyFill="1" applyBorder="1" applyAlignment="1">
      <alignment horizontal="right" wrapText="1"/>
    </xf>
    <xf numFmtId="4" fontId="0" fillId="0" borderId="8" xfId="0" applyNumberFormat="1" applyFont="1" applyBorder="1"/>
    <xf numFmtId="4" fontId="4" fillId="24" borderId="8" xfId="0" applyNumberFormat="1" applyFont="1" applyFill="1" applyBorder="1" applyAlignment="1">
      <alignment horizontal="right" wrapText="1"/>
    </xf>
    <xf numFmtId="3" fontId="63" fillId="0" borderId="8" xfId="0" applyNumberFormat="1" applyFont="1" applyBorder="1"/>
    <xf numFmtId="3" fontId="34" fillId="24" borderId="8" xfId="0" applyNumberFormat="1" applyFont="1" applyFill="1" applyBorder="1" applyAlignment="1">
      <alignment wrapText="1"/>
    </xf>
    <xf numFmtId="3" fontId="34" fillId="24" borderId="8" xfId="0" applyNumberFormat="1" applyFont="1" applyFill="1" applyBorder="1" applyAlignment="1">
      <alignment horizontal="right" wrapText="1"/>
    </xf>
    <xf numFmtId="3" fontId="4" fillId="24" borderId="8" xfId="0" applyNumberFormat="1" applyFont="1" applyFill="1" applyBorder="1" applyAlignment="1">
      <alignment wrapText="1"/>
    </xf>
    <xf numFmtId="3" fontId="4" fillId="24" borderId="8" xfId="0" applyNumberFormat="1" applyFont="1" applyFill="1" applyBorder="1" applyAlignment="1">
      <alignment horizontal="right" wrapText="1"/>
    </xf>
    <xf numFmtId="0" fontId="33" fillId="0" borderId="0" xfId="0" applyFont="1" applyAlignment="1">
      <alignment horizontal="justify"/>
    </xf>
    <xf numFmtId="3" fontId="4" fillId="0" borderId="8" xfId="0" applyNumberFormat="1" applyFont="1" applyBorder="1"/>
    <xf numFmtId="0" fontId="34" fillId="24" borderId="18" xfId="0" applyFont="1" applyFill="1" applyBorder="1" applyAlignment="1">
      <alignment horizontal="left"/>
    </xf>
    <xf numFmtId="192" fontId="39" fillId="0" borderId="8" xfId="49" applyNumberFormat="1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 applyProtection="1">
      <alignment vertical="center" wrapText="1"/>
    </xf>
    <xf numFmtId="192" fontId="39" fillId="0" borderId="8" xfId="49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/>
    <xf numFmtId="0" fontId="27" fillId="0" borderId="0" xfId="0" applyNumberFormat="1" applyFont="1" applyFill="1" applyAlignment="1" applyProtection="1">
      <alignment vertical="top"/>
    </xf>
    <xf numFmtId="0" fontId="31" fillId="0" borderId="0" xfId="0" applyNumberFormat="1" applyFont="1" applyFill="1" applyAlignment="1" applyProtection="1">
      <alignment vertical="center" wrapText="1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7" xfId="0" applyNumberFormat="1" applyFont="1" applyFill="1" applyBorder="1" applyAlignment="1" applyProtection="1">
      <alignment horizontal="right" vertical="center"/>
    </xf>
    <xf numFmtId="0" fontId="2" fillId="0" borderId="8" xfId="0" applyNumberFormat="1" applyFont="1" applyFill="1" applyBorder="1" applyAlignment="1" applyProtection="1">
      <alignment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NumberFormat="1" applyFont="1" applyFill="1" applyBorder="1" applyAlignment="1" applyProtection="1">
      <alignment wrapText="1"/>
    </xf>
    <xf numFmtId="0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Border="1" applyAlignment="1">
      <alignment horizontal="center" vertical="center" wrapText="1"/>
    </xf>
    <xf numFmtId="192" fontId="38" fillId="0" borderId="8" xfId="49" applyNumberFormat="1" applyFont="1" applyBorder="1" applyAlignment="1">
      <alignment vertical="center"/>
    </xf>
    <xf numFmtId="3" fontId="38" fillId="0" borderId="8" xfId="49" applyNumberFormat="1" applyFont="1" applyBorder="1" applyAlignment="1">
      <alignment vertical="center"/>
    </xf>
    <xf numFmtId="192" fontId="38" fillId="0" borderId="8" xfId="49" applyNumberFormat="1" applyFont="1" applyBorder="1">
      <alignment vertical="top"/>
    </xf>
    <xf numFmtId="192" fontId="39" fillId="0" borderId="8" xfId="49" applyNumberFormat="1" applyFont="1" applyBorder="1" applyAlignment="1">
      <alignment vertical="top" wrapText="1"/>
    </xf>
    <xf numFmtId="3" fontId="39" fillId="0" borderId="8" xfId="49" applyNumberFormat="1" applyFont="1" applyBorder="1" applyAlignment="1">
      <alignment vertical="center"/>
    </xf>
    <xf numFmtId="192" fontId="39" fillId="0" borderId="8" xfId="49" applyNumberFormat="1" applyFont="1" applyBorder="1" applyAlignment="1">
      <alignment vertical="center" wrapText="1"/>
    </xf>
    <xf numFmtId="3" fontId="39" fillId="0" borderId="8" xfId="49" applyNumberFormat="1" applyFont="1" applyBorder="1" applyAlignment="1">
      <alignment horizontal="center" vertical="center"/>
    </xf>
    <xf numFmtId="49" fontId="1" fillId="0" borderId="8" xfId="0" applyNumberFormat="1" applyFont="1" applyFill="1" applyBorder="1" applyAlignment="1" applyProtection="1"/>
    <xf numFmtId="3" fontId="38" fillId="0" borderId="8" xfId="0" applyNumberFormat="1" applyFont="1" applyBorder="1" applyAlignment="1">
      <alignment vertical="center"/>
    </xf>
    <xf numFmtId="0" fontId="34" fillId="0" borderId="0" xfId="0" applyFont="1"/>
    <xf numFmtId="0" fontId="1" fillId="0" borderId="0" xfId="0" applyNumberFormat="1" applyFont="1" applyFill="1" applyAlignment="1" applyProtection="1">
      <alignment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justify" vertical="center" wrapText="1"/>
    </xf>
    <xf numFmtId="192" fontId="39" fillId="0" borderId="8" xfId="0" applyNumberFormat="1" applyFont="1" applyBorder="1" applyAlignment="1">
      <alignment vertical="justify"/>
    </xf>
    <xf numFmtId="0" fontId="2" fillId="0" borderId="7" xfId="0" applyNumberFormat="1" applyFont="1" applyFill="1" applyBorder="1" applyAlignment="1" applyProtection="1">
      <alignment vertical="center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3" fontId="29" fillId="0" borderId="8" xfId="0" applyNumberFormat="1" applyFont="1" applyFill="1" applyBorder="1" applyAlignment="1" applyProtection="1">
      <alignment horizontal="right" vertical="center" wrapText="1"/>
    </xf>
    <xf numFmtId="3" fontId="36" fillId="0" borderId="8" xfId="0" applyNumberFormat="1" applyFont="1" applyBorder="1" applyAlignment="1">
      <alignment vertical="center" wrapText="1"/>
    </xf>
    <xf numFmtId="0" fontId="67" fillId="0" borderId="8" xfId="0" applyNumberFormat="1" applyFont="1" applyFill="1" applyBorder="1" applyAlignment="1" applyProtection="1">
      <alignment horizontal="center" vertical="center" wrapText="1"/>
    </xf>
    <xf numFmtId="0" fontId="67" fillId="0" borderId="8" xfId="0" applyNumberFormat="1" applyFont="1" applyFill="1" applyBorder="1" applyAlignment="1" applyProtection="1">
      <alignment vertical="center" wrapText="1"/>
    </xf>
    <xf numFmtId="0" fontId="31" fillId="0" borderId="8" xfId="0" applyNumberFormat="1" applyFont="1" applyFill="1" applyBorder="1" applyAlignment="1" applyProtection="1">
      <alignment horizontal="center" vertical="center" wrapText="1"/>
    </xf>
    <xf numFmtId="0" fontId="21" fillId="0" borderId="8" xfId="0" applyNumberFormat="1" applyFont="1" applyFill="1" applyBorder="1" applyAlignment="1" applyProtection="1">
      <alignment vertical="center" wrapText="1"/>
    </xf>
    <xf numFmtId="3" fontId="31" fillId="0" borderId="8" xfId="0" applyNumberFormat="1" applyFont="1" applyFill="1" applyBorder="1" applyAlignment="1" applyProtection="1">
      <alignment horizontal="right" vertical="center" wrapText="1"/>
    </xf>
    <xf numFmtId="3" fontId="32" fillId="0" borderId="8" xfId="0" applyNumberFormat="1" applyFont="1" applyBorder="1" applyAlignment="1">
      <alignment vertical="center" wrapText="1"/>
    </xf>
    <xf numFmtId="0" fontId="31" fillId="0" borderId="8" xfId="0" applyNumberFormat="1" applyFont="1" applyFill="1" applyBorder="1" applyAlignment="1" applyProtection="1">
      <alignment vertical="center" wrapText="1"/>
    </xf>
    <xf numFmtId="3" fontId="67" fillId="0" borderId="8" xfId="0" applyNumberFormat="1" applyFont="1" applyFill="1" applyBorder="1" applyAlignment="1" applyProtection="1">
      <alignment horizontal="right" vertical="center" wrapText="1"/>
    </xf>
    <xf numFmtId="3" fontId="68" fillId="0" borderId="8" xfId="0" applyNumberFormat="1" applyFont="1" applyBorder="1" applyAlignment="1">
      <alignment vertical="center" wrapText="1"/>
    </xf>
    <xf numFmtId="0" fontId="78" fillId="0" borderId="0" xfId="0" applyFont="1" applyAlignment="1">
      <alignment wrapText="1"/>
    </xf>
    <xf numFmtId="3" fontId="38" fillId="0" borderId="8" xfId="0" applyNumberFormat="1" applyFont="1" applyBorder="1" applyAlignment="1">
      <alignment vertical="center" wrapText="1"/>
    </xf>
    <xf numFmtId="0" fontId="29" fillId="0" borderId="8" xfId="0" applyNumberFormat="1" applyFont="1" applyFill="1" applyBorder="1" applyAlignment="1" applyProtection="1">
      <alignment vertical="center" wrapText="1"/>
    </xf>
    <xf numFmtId="0" fontId="70" fillId="0" borderId="8" xfId="0" applyNumberFormat="1" applyFont="1" applyFill="1" applyBorder="1" applyAlignment="1" applyProtection="1">
      <alignment vertical="center" wrapText="1"/>
    </xf>
    <xf numFmtId="0" fontId="41" fillId="0" borderId="8" xfId="0" applyNumberFormat="1" applyFont="1" applyFill="1" applyBorder="1" applyAlignment="1" applyProtection="1">
      <alignment horizontal="center" vertical="center" wrapText="1"/>
    </xf>
    <xf numFmtId="0" fontId="21" fillId="0" borderId="8" xfId="0" applyFont="1" applyBorder="1" applyAlignment="1">
      <alignment wrapText="1"/>
    </xf>
    <xf numFmtId="0" fontId="21" fillId="0" borderId="8" xfId="0" applyFont="1" applyBorder="1"/>
    <xf numFmtId="3" fontId="20" fillId="0" borderId="8" xfId="0" applyNumberFormat="1" applyFont="1" applyFill="1" applyBorder="1" applyAlignment="1" applyProtection="1">
      <alignment horizontal="right" vertical="center" wrapText="1"/>
    </xf>
    <xf numFmtId="3" fontId="71" fillId="0" borderId="8" xfId="0" applyNumberFormat="1" applyFont="1" applyFill="1" applyBorder="1" applyAlignment="1" applyProtection="1">
      <alignment horizontal="right" vertical="center" wrapText="1"/>
    </xf>
    <xf numFmtId="0" fontId="70" fillId="0" borderId="8" xfId="0" applyFont="1" applyBorder="1"/>
    <xf numFmtId="3" fontId="1" fillId="0" borderId="8" xfId="0" applyNumberFormat="1" applyFont="1" applyFill="1" applyBorder="1" applyAlignment="1" applyProtection="1">
      <alignment horizontal="right" vertical="center" wrapText="1"/>
    </xf>
    <xf numFmtId="0" fontId="23" fillId="0" borderId="8" xfId="0" applyFont="1" applyBorder="1" applyAlignment="1">
      <alignment wrapText="1"/>
    </xf>
    <xf numFmtId="3" fontId="72" fillId="0" borderId="8" xfId="0" applyNumberFormat="1" applyFont="1" applyBorder="1" applyAlignment="1">
      <alignment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23" fillId="0" borderId="8" xfId="0" applyFont="1" applyBorder="1" applyAlignment="1">
      <alignment vertical="center" wrapText="1"/>
    </xf>
    <xf numFmtId="0" fontId="34" fillId="0" borderId="0" xfId="0" applyFont="1" applyAlignment="1">
      <alignment horizontal="center" wrapText="1"/>
    </xf>
    <xf numFmtId="0" fontId="1" fillId="24" borderId="0" xfId="0" applyFont="1" applyFill="1"/>
    <xf numFmtId="1" fontId="4" fillId="24" borderId="8" xfId="0" applyNumberFormat="1" applyFont="1" applyFill="1" applyBorder="1" applyAlignment="1">
      <alignment horizontal="right" wrapText="1"/>
    </xf>
    <xf numFmtId="1" fontId="34" fillId="24" borderId="8" xfId="0" applyNumberFormat="1" applyFont="1" applyFill="1" applyBorder="1" applyAlignment="1">
      <alignment horizontal="right" wrapText="1"/>
    </xf>
    <xf numFmtId="3" fontId="39" fillId="0" borderId="8" xfId="49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horizontal="right" vertical="center" wrapText="1"/>
    </xf>
    <xf numFmtId="0" fontId="48" fillId="0" borderId="8" xfId="0" applyNumberFormat="1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3" fontId="39" fillId="0" borderId="11" xfId="49" applyNumberFormat="1" applyFont="1" applyFill="1" applyBorder="1" applyAlignment="1">
      <alignment vertical="center"/>
    </xf>
    <xf numFmtId="3" fontId="38" fillId="0" borderId="11" xfId="49" applyNumberFormat="1" applyFont="1" applyBorder="1" applyAlignment="1">
      <alignment vertical="center"/>
    </xf>
    <xf numFmtId="3" fontId="39" fillId="0" borderId="13" xfId="49" applyNumberFormat="1" applyFont="1" applyFill="1" applyBorder="1" applyAlignment="1">
      <alignment vertical="center"/>
    </xf>
    <xf numFmtId="3" fontId="29" fillId="0" borderId="8" xfId="0" applyNumberFormat="1" applyFont="1" applyFill="1" applyBorder="1" applyAlignment="1" applyProtection="1">
      <alignment vertical="center"/>
    </xf>
    <xf numFmtId="3" fontId="43" fillId="0" borderId="8" xfId="0" applyNumberFormat="1" applyFont="1" applyBorder="1" applyAlignment="1">
      <alignment vertical="center" wrapText="1"/>
    </xf>
    <xf numFmtId="3" fontId="31" fillId="0" borderId="8" xfId="0" applyNumberFormat="1" applyFont="1" applyFill="1" applyBorder="1" applyAlignment="1" applyProtection="1">
      <alignment vertical="center"/>
    </xf>
    <xf numFmtId="3" fontId="35" fillId="0" borderId="8" xfId="0" applyNumberFormat="1" applyFont="1" applyFill="1" applyBorder="1" applyAlignment="1" applyProtection="1">
      <alignment vertical="center"/>
    </xf>
    <xf numFmtId="0" fontId="34" fillId="24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48" fillId="0" borderId="8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15" fillId="24" borderId="8" xfId="0" applyNumberFormat="1" applyFont="1" applyFill="1" applyBorder="1" applyAlignment="1" applyProtection="1">
      <alignment horizontal="center" vertical="center" wrapText="1"/>
    </xf>
    <xf numFmtId="0" fontId="27" fillId="24" borderId="8" xfId="0" applyNumberFormat="1" applyFont="1" applyFill="1" applyBorder="1" applyAlignment="1" applyProtection="1">
      <alignment horizontal="center" vertical="center" wrapText="1"/>
    </xf>
    <xf numFmtId="0" fontId="2" fillId="24" borderId="8" xfId="0" applyNumberFormat="1" applyFont="1" applyFill="1" applyBorder="1" applyAlignment="1" applyProtection="1">
      <alignment horizontal="center" vertical="center" wrapText="1"/>
    </xf>
    <xf numFmtId="0" fontId="3" fillId="24" borderId="8" xfId="0" applyNumberFormat="1" applyFont="1" applyFill="1" applyBorder="1" applyAlignment="1" applyProtection="1">
      <alignment horizontal="center" vertical="center" wrapText="1"/>
    </xf>
    <xf numFmtId="0" fontId="22" fillId="24" borderId="8" xfId="0" applyNumberFormat="1" applyFont="1" applyFill="1" applyBorder="1" applyAlignment="1" applyProtection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34" fillId="24" borderId="0" xfId="0" applyNumberFormat="1" applyFont="1" applyFill="1" applyBorder="1" applyAlignment="1" applyProtection="1">
      <alignment horizontal="left" vertical="center" wrapText="1"/>
    </xf>
    <xf numFmtId="0" fontId="22" fillId="24" borderId="0" xfId="0" applyNumberFormat="1" applyFont="1" applyFill="1" applyBorder="1" applyAlignment="1" applyProtection="1">
      <alignment horizontal="left" vertical="center" wrapText="1"/>
    </xf>
    <xf numFmtId="0" fontId="2" fillId="24" borderId="19" xfId="0" applyNumberFormat="1" applyFont="1" applyFill="1" applyBorder="1" applyAlignment="1" applyProtection="1">
      <alignment horizontal="center" vertical="center" wrapText="1"/>
    </xf>
    <xf numFmtId="0" fontId="42" fillId="24" borderId="20" xfId="0" applyNumberFormat="1" applyFont="1" applyFill="1" applyBorder="1" applyAlignment="1" applyProtection="1">
      <alignment horizontal="center" vertical="center" wrapText="1"/>
    </xf>
    <xf numFmtId="0" fontId="42" fillId="24" borderId="11" xfId="0" applyNumberFormat="1" applyFont="1" applyFill="1" applyBorder="1" applyAlignment="1" applyProtection="1">
      <alignment horizontal="center" vertical="center" wrapText="1"/>
    </xf>
    <xf numFmtId="0" fontId="42" fillId="24" borderId="8" xfId="0" applyNumberFormat="1" applyFont="1" applyFill="1" applyBorder="1" applyAlignment="1" applyProtection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23" fillId="24" borderId="8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top" wrapText="1"/>
    </xf>
    <xf numFmtId="0" fontId="30" fillId="0" borderId="0" xfId="0" applyNumberFormat="1" applyFont="1" applyFill="1" applyBorder="1" applyAlignment="1" applyProtection="1">
      <alignment horizontal="center" vertical="top" wrapText="1"/>
    </xf>
    <xf numFmtId="192" fontId="39" fillId="0" borderId="19" xfId="49" applyNumberFormat="1" applyFont="1" applyFill="1" applyBorder="1" applyAlignment="1">
      <alignment horizontal="center" vertical="center" wrapText="1"/>
    </xf>
    <xf numFmtId="192" fontId="39" fillId="0" borderId="11" xfId="49" applyNumberFormat="1" applyFont="1" applyFill="1" applyBorder="1" applyAlignment="1">
      <alignment horizontal="center" vertical="center" wrapText="1"/>
    </xf>
    <xf numFmtId="192" fontId="39" fillId="24" borderId="19" xfId="49" applyNumberFormat="1" applyFont="1" applyFill="1" applyBorder="1" applyAlignment="1">
      <alignment horizontal="center" vertical="center" wrapText="1"/>
    </xf>
    <xf numFmtId="192" fontId="39" fillId="24" borderId="20" xfId="49" applyNumberFormat="1" applyFont="1" applyFill="1" applyBorder="1" applyAlignment="1">
      <alignment horizontal="center" vertical="center" wrapText="1"/>
    </xf>
    <xf numFmtId="192" fontId="39" fillId="24" borderId="11" xfId="49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192" fontId="39" fillId="24" borderId="19" xfId="49" applyNumberFormat="1" applyFont="1" applyFill="1" applyBorder="1" applyAlignment="1">
      <alignment horizontal="center" vertical="top" wrapText="1"/>
    </xf>
    <xf numFmtId="192" fontId="39" fillId="24" borderId="11" xfId="49" applyNumberFormat="1" applyFont="1" applyFill="1" applyBorder="1" applyAlignment="1">
      <alignment horizontal="center" vertical="top" wrapText="1"/>
    </xf>
    <xf numFmtId="192" fontId="39" fillId="0" borderId="20" xfId="49" applyNumberFormat="1" applyFont="1" applyFill="1" applyBorder="1" applyAlignment="1">
      <alignment horizontal="center" vertical="center" wrapText="1"/>
    </xf>
    <xf numFmtId="192" fontId="39" fillId="0" borderId="19" xfId="49" applyNumberFormat="1" applyFont="1" applyBorder="1" applyAlignment="1">
      <alignment horizontal="center" vertical="center" wrapText="1"/>
    </xf>
    <xf numFmtId="192" fontId="39" fillId="0" borderId="11" xfId="49" applyNumberFormat="1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192" fontId="39" fillId="0" borderId="20" xfId="49" applyNumberFormat="1" applyFont="1" applyBorder="1" applyAlignment="1">
      <alignment horizontal="center" vertical="center" wrapText="1"/>
    </xf>
    <xf numFmtId="192" fontId="39" fillId="0" borderId="8" xfId="49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Normal_Доходи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вод " xfId="27"/>
    <cellStyle name="Вывод" xfId="28"/>
    <cellStyle name="Вычисление" xfId="29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>
      <selection activeCell="B3" sqref="B3"/>
    </sheetView>
  </sheetViews>
  <sheetFormatPr defaultRowHeight="12.75" x14ac:dyDescent="0.2"/>
  <cols>
    <col min="1" max="1" width="11.83203125" customWidth="1"/>
    <col min="2" max="2" width="50" customWidth="1"/>
    <col min="3" max="3" width="14.1640625" customWidth="1"/>
    <col min="4" max="4" width="13.83203125" customWidth="1"/>
    <col min="5" max="5" width="13.1640625" customWidth="1"/>
    <col min="6" max="6" width="9.1640625" customWidth="1"/>
  </cols>
  <sheetData>
    <row r="1" spans="1:6" x14ac:dyDescent="0.2">
      <c r="A1" s="1"/>
      <c r="B1" s="1"/>
      <c r="C1" s="1"/>
      <c r="D1" s="1" t="s">
        <v>195</v>
      </c>
      <c r="E1" s="1"/>
      <c r="F1" s="1"/>
    </row>
    <row r="2" spans="1:6" x14ac:dyDescent="0.2">
      <c r="A2" s="1"/>
      <c r="B2" s="1"/>
      <c r="C2" s="1"/>
      <c r="D2" s="1" t="s">
        <v>147</v>
      </c>
      <c r="E2" s="1"/>
      <c r="F2" s="1"/>
    </row>
    <row r="3" spans="1:6" x14ac:dyDescent="0.2">
      <c r="A3" s="1"/>
      <c r="B3" s="1"/>
      <c r="C3" s="1"/>
      <c r="D3" s="1" t="s">
        <v>151</v>
      </c>
      <c r="E3" s="1"/>
      <c r="F3" s="1"/>
    </row>
    <row r="4" spans="1:6" x14ac:dyDescent="0.2">
      <c r="A4" s="1"/>
      <c r="B4" s="1"/>
      <c r="C4" s="1"/>
      <c r="D4" s="1" t="s">
        <v>150</v>
      </c>
      <c r="E4" s="1"/>
      <c r="F4" s="1"/>
    </row>
    <row r="5" spans="1:6" x14ac:dyDescent="0.2">
      <c r="A5" s="1"/>
      <c r="B5" s="1"/>
      <c r="C5" s="1"/>
      <c r="D5" s="1" t="s">
        <v>301</v>
      </c>
      <c r="E5" s="1"/>
      <c r="F5" s="1"/>
    </row>
    <row r="6" spans="1:6" ht="18.75" x14ac:dyDescent="0.2">
      <c r="A6" s="227" t="s">
        <v>220</v>
      </c>
      <c r="B6" s="228"/>
      <c r="C6" s="228"/>
      <c r="D6" s="228"/>
      <c r="E6" s="228"/>
      <c r="F6" s="1"/>
    </row>
    <row r="7" spans="1:6" x14ac:dyDescent="0.2">
      <c r="A7" s="1"/>
      <c r="B7" s="183"/>
      <c r="C7" s="183"/>
      <c r="D7" s="183"/>
      <c r="E7" s="183"/>
      <c r="F7" s="160" t="s">
        <v>24</v>
      </c>
    </row>
    <row r="8" spans="1:6" x14ac:dyDescent="0.2">
      <c r="A8" s="229" t="s">
        <v>0</v>
      </c>
      <c r="B8" s="229" t="s">
        <v>221</v>
      </c>
      <c r="C8" s="230" t="s">
        <v>69</v>
      </c>
      <c r="D8" s="230" t="s">
        <v>7</v>
      </c>
      <c r="E8" s="230" t="s">
        <v>8</v>
      </c>
      <c r="F8" s="230"/>
    </row>
    <row r="9" spans="1:6" ht="47.45" customHeight="1" x14ac:dyDescent="0.2">
      <c r="A9" s="229"/>
      <c r="B9" s="229"/>
      <c r="C9" s="230"/>
      <c r="D9" s="230"/>
      <c r="E9" s="217" t="s">
        <v>180</v>
      </c>
      <c r="F9" s="217" t="s">
        <v>222</v>
      </c>
    </row>
    <row r="10" spans="1:6" ht="14.25" x14ac:dyDescent="0.2">
      <c r="A10" s="164">
        <v>10000000</v>
      </c>
      <c r="B10" s="184" t="s">
        <v>223</v>
      </c>
      <c r="C10" s="185">
        <f>D10+E10</f>
        <v>35501600</v>
      </c>
      <c r="D10" s="186">
        <f>D11+D14+D18+D34</f>
        <v>35283200</v>
      </c>
      <c r="E10" s="186">
        <f>E11+E14+E18+E34</f>
        <v>218400</v>
      </c>
      <c r="F10" s="186">
        <f>F11+F14+F18+F34</f>
        <v>0</v>
      </c>
    </row>
    <row r="11" spans="1:6" ht="45" x14ac:dyDescent="0.2">
      <c r="A11" s="187">
        <v>11000000</v>
      </c>
      <c r="B11" s="188" t="s">
        <v>224</v>
      </c>
      <c r="C11" s="185">
        <f>D11+E11</f>
        <v>5200</v>
      </c>
      <c r="D11" s="186">
        <f>D12</f>
        <v>5200</v>
      </c>
      <c r="E11" s="186">
        <f>E12</f>
        <v>0</v>
      </c>
      <c r="F11" s="186">
        <f>F12</f>
        <v>0</v>
      </c>
    </row>
    <row r="12" spans="1:6" ht="15" x14ac:dyDescent="0.2">
      <c r="A12" s="187">
        <v>11020000</v>
      </c>
      <c r="B12" s="188" t="s">
        <v>225</v>
      </c>
      <c r="C12" s="185">
        <f t="shared" ref="C12:C67" si="0">D12+E12</f>
        <v>5200</v>
      </c>
      <c r="D12" s="185">
        <f>D13</f>
        <v>5200</v>
      </c>
      <c r="E12" s="185"/>
      <c r="F12" s="185"/>
    </row>
    <row r="13" spans="1:6" ht="24" x14ac:dyDescent="0.2">
      <c r="A13" s="189">
        <v>11020200</v>
      </c>
      <c r="B13" s="190" t="s">
        <v>226</v>
      </c>
      <c r="C13" s="191">
        <f t="shared" si="0"/>
        <v>5200</v>
      </c>
      <c r="D13" s="192">
        <v>5200</v>
      </c>
      <c r="E13" s="192"/>
      <c r="F13" s="192"/>
    </row>
    <row r="14" spans="1:6" ht="30" x14ac:dyDescent="0.2">
      <c r="A14" s="187">
        <v>14000000</v>
      </c>
      <c r="B14" s="188" t="s">
        <v>227</v>
      </c>
      <c r="C14" s="185">
        <f t="shared" si="0"/>
        <v>8786700</v>
      </c>
      <c r="D14" s="186">
        <f>D15+D16+D17</f>
        <v>8786700</v>
      </c>
      <c r="E14" s="186">
        <f>E17</f>
        <v>0</v>
      </c>
      <c r="F14" s="186">
        <f>F17</f>
        <v>0</v>
      </c>
    </row>
    <row r="15" spans="1:6" ht="15" x14ac:dyDescent="0.2">
      <c r="A15" s="189">
        <v>14021900</v>
      </c>
      <c r="B15" s="193" t="s">
        <v>228</v>
      </c>
      <c r="C15" s="191">
        <f t="shared" si="0"/>
        <v>1185200</v>
      </c>
      <c r="D15" s="192">
        <v>1185200</v>
      </c>
      <c r="E15" s="186"/>
      <c r="F15" s="186"/>
    </row>
    <row r="16" spans="1:6" ht="15" x14ac:dyDescent="0.2">
      <c r="A16" s="189">
        <v>14031900</v>
      </c>
      <c r="B16" s="193" t="s">
        <v>228</v>
      </c>
      <c r="C16" s="191">
        <f t="shared" si="0"/>
        <v>4871500</v>
      </c>
      <c r="D16" s="192">
        <v>4871500</v>
      </c>
      <c r="E16" s="186"/>
      <c r="F16" s="186"/>
    </row>
    <row r="17" spans="1:6" ht="36" x14ac:dyDescent="0.2">
      <c r="A17" s="189">
        <v>14040000</v>
      </c>
      <c r="B17" s="190" t="s">
        <v>229</v>
      </c>
      <c r="C17" s="191">
        <f t="shared" si="0"/>
        <v>2730000</v>
      </c>
      <c r="D17" s="192">
        <v>2730000</v>
      </c>
      <c r="E17" s="192"/>
      <c r="F17" s="192"/>
    </row>
    <row r="18" spans="1:6" ht="15" x14ac:dyDescent="0.2">
      <c r="A18" s="187">
        <v>18000000</v>
      </c>
      <c r="B18" s="188" t="s">
        <v>230</v>
      </c>
      <c r="C18" s="194">
        <f t="shared" si="0"/>
        <v>26491300</v>
      </c>
      <c r="D18" s="195">
        <f>D19+D30</f>
        <v>26491300</v>
      </c>
      <c r="E18" s="195"/>
      <c r="F18" s="195"/>
    </row>
    <row r="19" spans="1:6" ht="15" x14ac:dyDescent="0.2">
      <c r="A19" s="187">
        <v>18010000</v>
      </c>
      <c r="B19" s="188" t="s">
        <v>231</v>
      </c>
      <c r="C19" s="194">
        <f t="shared" si="0"/>
        <v>15404300</v>
      </c>
      <c r="D19" s="195">
        <f>D20+D21+D22+D23+D24+D25+D26+D27+D28+D29</f>
        <v>15404300</v>
      </c>
      <c r="E19" s="195"/>
      <c r="F19" s="195"/>
    </row>
    <row r="20" spans="1:6" ht="36" x14ac:dyDescent="0.2">
      <c r="A20" s="189">
        <v>18010100</v>
      </c>
      <c r="B20" s="190" t="s">
        <v>232</v>
      </c>
      <c r="C20" s="191">
        <f t="shared" si="0"/>
        <v>500</v>
      </c>
      <c r="D20" s="192">
        <v>500</v>
      </c>
      <c r="E20" s="192"/>
      <c r="F20" s="192"/>
    </row>
    <row r="21" spans="1:6" ht="36" x14ac:dyDescent="0.2">
      <c r="A21" s="189">
        <v>18010200</v>
      </c>
      <c r="B21" s="190" t="s">
        <v>233</v>
      </c>
      <c r="C21" s="191">
        <f t="shared" si="0"/>
        <v>473000</v>
      </c>
      <c r="D21" s="192">
        <v>473000</v>
      </c>
      <c r="E21" s="192"/>
      <c r="F21" s="192"/>
    </row>
    <row r="22" spans="1:6" ht="36" x14ac:dyDescent="0.2">
      <c r="A22" s="189">
        <v>18010300</v>
      </c>
      <c r="B22" s="190" t="s">
        <v>234</v>
      </c>
      <c r="C22" s="191">
        <f t="shared" si="0"/>
        <v>1178000</v>
      </c>
      <c r="D22" s="192">
        <v>1178000</v>
      </c>
      <c r="E22" s="192"/>
      <c r="F22" s="192"/>
    </row>
    <row r="23" spans="1:6" ht="36" x14ac:dyDescent="0.2">
      <c r="A23" s="189">
        <v>18010400</v>
      </c>
      <c r="B23" s="190" t="s">
        <v>232</v>
      </c>
      <c r="C23" s="191">
        <f t="shared" si="0"/>
        <v>893000</v>
      </c>
      <c r="D23" s="192">
        <v>893000</v>
      </c>
      <c r="E23" s="192"/>
      <c r="F23" s="192"/>
    </row>
    <row r="24" spans="1:6" ht="15" x14ac:dyDescent="0.2">
      <c r="A24" s="189">
        <v>18010500</v>
      </c>
      <c r="B24" s="190" t="s">
        <v>235</v>
      </c>
      <c r="C24" s="191">
        <f t="shared" si="0"/>
        <v>3386000</v>
      </c>
      <c r="D24" s="192">
        <v>3386000</v>
      </c>
      <c r="E24" s="192"/>
      <c r="F24" s="192"/>
    </row>
    <row r="25" spans="1:6" ht="15" x14ac:dyDescent="0.2">
      <c r="A25" s="189">
        <v>18010600</v>
      </c>
      <c r="B25" s="190" t="s">
        <v>236</v>
      </c>
      <c r="C25" s="191">
        <f t="shared" si="0"/>
        <v>7575500</v>
      </c>
      <c r="D25" s="192">
        <v>7575500</v>
      </c>
      <c r="E25" s="192"/>
      <c r="F25" s="192"/>
    </row>
    <row r="26" spans="1:6" ht="15" x14ac:dyDescent="0.2">
      <c r="A26" s="189">
        <v>18010700</v>
      </c>
      <c r="B26" s="190" t="s">
        <v>237</v>
      </c>
      <c r="C26" s="191">
        <f t="shared" si="0"/>
        <v>534000</v>
      </c>
      <c r="D26" s="192">
        <v>534000</v>
      </c>
      <c r="E26" s="192"/>
      <c r="F26" s="192"/>
    </row>
    <row r="27" spans="1:6" ht="15" x14ac:dyDescent="0.2">
      <c r="A27" s="189">
        <v>18010900</v>
      </c>
      <c r="B27" s="190" t="s">
        <v>238</v>
      </c>
      <c r="C27" s="191">
        <f t="shared" si="0"/>
        <v>1312000</v>
      </c>
      <c r="D27" s="192">
        <v>1312000</v>
      </c>
      <c r="E27" s="192"/>
      <c r="F27" s="192"/>
    </row>
    <row r="28" spans="1:6" ht="15" x14ac:dyDescent="0.2">
      <c r="A28" s="189">
        <v>18011000</v>
      </c>
      <c r="B28" s="190" t="s">
        <v>239</v>
      </c>
      <c r="C28" s="191">
        <f t="shared" si="0"/>
        <v>2300</v>
      </c>
      <c r="D28" s="192">
        <v>2300</v>
      </c>
      <c r="E28" s="192"/>
      <c r="F28" s="192"/>
    </row>
    <row r="29" spans="1:6" ht="15" x14ac:dyDescent="0.2">
      <c r="A29" s="189">
        <v>18011100</v>
      </c>
      <c r="B29" s="190" t="s">
        <v>240</v>
      </c>
      <c r="C29" s="191">
        <f t="shared" si="0"/>
        <v>50000</v>
      </c>
      <c r="D29" s="192">
        <v>50000</v>
      </c>
      <c r="E29" s="192"/>
      <c r="F29" s="192"/>
    </row>
    <row r="30" spans="1:6" ht="15" x14ac:dyDescent="0.2">
      <c r="A30" s="187">
        <v>18050000</v>
      </c>
      <c r="B30" s="188" t="s">
        <v>241</v>
      </c>
      <c r="C30" s="194">
        <f t="shared" si="0"/>
        <v>11087000</v>
      </c>
      <c r="D30" s="195">
        <f>D31+D32+D33</f>
        <v>11087000</v>
      </c>
      <c r="E30" s="195">
        <f>E31+E32+E33</f>
        <v>0</v>
      </c>
      <c r="F30" s="195">
        <f>F31+F32+F33</f>
        <v>0</v>
      </c>
    </row>
    <row r="31" spans="1:6" ht="15" x14ac:dyDescent="0.2">
      <c r="A31" s="189">
        <v>18050300</v>
      </c>
      <c r="B31" s="190" t="s">
        <v>242</v>
      </c>
      <c r="C31" s="191">
        <f t="shared" si="0"/>
        <v>2100000</v>
      </c>
      <c r="D31" s="192">
        <v>2100000</v>
      </c>
      <c r="E31" s="192"/>
      <c r="F31" s="192"/>
    </row>
    <row r="32" spans="1:6" ht="15" x14ac:dyDescent="0.2">
      <c r="A32" s="189">
        <v>18050400</v>
      </c>
      <c r="B32" s="190" t="s">
        <v>243</v>
      </c>
      <c r="C32" s="191">
        <f t="shared" si="0"/>
        <v>7537000</v>
      </c>
      <c r="D32" s="192">
        <v>7537000</v>
      </c>
      <c r="E32" s="192"/>
      <c r="F32" s="192"/>
    </row>
    <row r="33" spans="1:6" ht="60" x14ac:dyDescent="0.2">
      <c r="A33" s="189">
        <v>18050500</v>
      </c>
      <c r="B33" s="190" t="s">
        <v>244</v>
      </c>
      <c r="C33" s="191">
        <f t="shared" si="0"/>
        <v>1450000</v>
      </c>
      <c r="D33" s="192">
        <v>1450000</v>
      </c>
      <c r="E33" s="192"/>
      <c r="F33" s="192"/>
    </row>
    <row r="34" spans="1:6" ht="15" x14ac:dyDescent="0.2">
      <c r="A34" s="187">
        <v>19000000</v>
      </c>
      <c r="B34" s="188" t="s">
        <v>245</v>
      </c>
      <c r="C34" s="194">
        <f t="shared" si="0"/>
        <v>218400</v>
      </c>
      <c r="D34" s="195">
        <f>D35+D36+D37</f>
        <v>0</v>
      </c>
      <c r="E34" s="195">
        <f>E35+E36+E37</f>
        <v>218400</v>
      </c>
      <c r="F34" s="195">
        <f>F35+F36+F37</f>
        <v>0</v>
      </c>
    </row>
    <row r="35" spans="1:6" ht="48" x14ac:dyDescent="0.2">
      <c r="A35" s="189">
        <v>19010100</v>
      </c>
      <c r="B35" s="196" t="s">
        <v>246</v>
      </c>
      <c r="C35" s="191">
        <f t="shared" si="0"/>
        <v>63200</v>
      </c>
      <c r="D35" s="192"/>
      <c r="E35" s="192">
        <v>63200</v>
      </c>
      <c r="F35" s="192"/>
    </row>
    <row r="36" spans="1:6" ht="24" x14ac:dyDescent="0.2">
      <c r="A36" s="189">
        <v>19010200</v>
      </c>
      <c r="B36" s="190" t="s">
        <v>247</v>
      </c>
      <c r="C36" s="191">
        <f t="shared" si="0"/>
        <v>31100</v>
      </c>
      <c r="D36" s="192"/>
      <c r="E36" s="192">
        <v>31100</v>
      </c>
      <c r="F36" s="192"/>
    </row>
    <row r="37" spans="1:6" ht="36" x14ac:dyDescent="0.2">
      <c r="A37" s="189">
        <v>19010300</v>
      </c>
      <c r="B37" s="190" t="s">
        <v>248</v>
      </c>
      <c r="C37" s="191">
        <f t="shared" si="0"/>
        <v>124100</v>
      </c>
      <c r="D37" s="192"/>
      <c r="E37" s="192">
        <v>124100</v>
      </c>
      <c r="F37" s="192"/>
    </row>
    <row r="38" spans="1:6" ht="14.25" x14ac:dyDescent="0.2">
      <c r="A38" s="164">
        <v>20000000</v>
      </c>
      <c r="B38" s="184" t="s">
        <v>249</v>
      </c>
      <c r="C38" s="185">
        <f t="shared" si="0"/>
        <v>4777109</v>
      </c>
      <c r="D38" s="197">
        <f>D39+D44+D54</f>
        <v>2988800</v>
      </c>
      <c r="E38" s="197">
        <f>E39+E44+E54</f>
        <v>1788309</v>
      </c>
      <c r="F38" s="197">
        <f>F39+F44+F54</f>
        <v>0</v>
      </c>
    </row>
    <row r="39" spans="1:6" ht="30" x14ac:dyDescent="0.2">
      <c r="A39" s="187">
        <v>21000000</v>
      </c>
      <c r="B39" s="188" t="s">
        <v>250</v>
      </c>
      <c r="C39" s="194">
        <f t="shared" si="0"/>
        <v>188100</v>
      </c>
      <c r="D39" s="195">
        <f>D40+D41</f>
        <v>188100</v>
      </c>
      <c r="E39" s="195">
        <f>E41</f>
        <v>0</v>
      </c>
      <c r="F39" s="195">
        <f>F41</f>
        <v>0</v>
      </c>
    </row>
    <row r="40" spans="1:6" ht="36" x14ac:dyDescent="0.2">
      <c r="A40" s="189">
        <v>21010300</v>
      </c>
      <c r="B40" s="190" t="s">
        <v>251</v>
      </c>
      <c r="C40" s="191">
        <f t="shared" si="0"/>
        <v>9100</v>
      </c>
      <c r="D40" s="192">
        <v>9100</v>
      </c>
      <c r="E40" s="195"/>
      <c r="F40" s="195"/>
    </row>
    <row r="41" spans="1:6" ht="15" x14ac:dyDescent="0.2">
      <c r="A41" s="187">
        <v>21080000</v>
      </c>
      <c r="B41" s="188" t="s">
        <v>252</v>
      </c>
      <c r="C41" s="185">
        <f t="shared" si="0"/>
        <v>179000</v>
      </c>
      <c r="D41" s="195">
        <f>D42+D43</f>
        <v>179000</v>
      </c>
      <c r="E41" s="195">
        <f>E42+E43</f>
        <v>0</v>
      </c>
      <c r="F41" s="195">
        <f>F42+F43</f>
        <v>0</v>
      </c>
    </row>
    <row r="42" spans="1:6" ht="15" x14ac:dyDescent="0.2">
      <c r="A42" s="189">
        <v>21081100</v>
      </c>
      <c r="B42" s="190" t="s">
        <v>253</v>
      </c>
      <c r="C42" s="191">
        <f t="shared" si="0"/>
        <v>26000</v>
      </c>
      <c r="D42" s="192">
        <v>26000</v>
      </c>
      <c r="E42" s="195"/>
      <c r="F42" s="195"/>
    </row>
    <row r="43" spans="1:6" ht="36" x14ac:dyDescent="0.2">
      <c r="A43" s="189">
        <v>21081500</v>
      </c>
      <c r="B43" s="190" t="s">
        <v>254</v>
      </c>
      <c r="C43" s="191">
        <f t="shared" si="0"/>
        <v>153000</v>
      </c>
      <c r="D43" s="192">
        <v>153000</v>
      </c>
      <c r="E43" s="192"/>
      <c r="F43" s="192"/>
    </row>
    <row r="44" spans="1:6" ht="42.75" x14ac:dyDescent="0.2">
      <c r="A44" s="164">
        <v>22000000</v>
      </c>
      <c r="B44" s="198" t="s">
        <v>255</v>
      </c>
      <c r="C44" s="185">
        <f t="shared" si="0"/>
        <v>2800700</v>
      </c>
      <c r="D44" s="186">
        <f>D45+D49+D51</f>
        <v>2800700</v>
      </c>
      <c r="E44" s="186"/>
      <c r="F44" s="186"/>
    </row>
    <row r="45" spans="1:6" ht="30" x14ac:dyDescent="0.2">
      <c r="A45" s="187">
        <v>22010000</v>
      </c>
      <c r="B45" s="188" t="s">
        <v>256</v>
      </c>
      <c r="C45" s="194">
        <f t="shared" si="0"/>
        <v>2466700</v>
      </c>
      <c r="D45" s="195">
        <f>D46+D47+D48</f>
        <v>2466700</v>
      </c>
      <c r="E45" s="195"/>
      <c r="F45" s="195"/>
    </row>
    <row r="46" spans="1:6" ht="36" x14ac:dyDescent="0.2">
      <c r="A46" s="189">
        <v>22010300</v>
      </c>
      <c r="B46" s="190" t="s">
        <v>257</v>
      </c>
      <c r="C46" s="194">
        <f t="shared" si="0"/>
        <v>7700</v>
      </c>
      <c r="D46" s="195">
        <v>7700</v>
      </c>
      <c r="E46" s="195"/>
      <c r="F46" s="195"/>
    </row>
    <row r="47" spans="1:6" ht="15" x14ac:dyDescent="0.2">
      <c r="A47" s="189">
        <v>22012500</v>
      </c>
      <c r="B47" s="190" t="s">
        <v>258</v>
      </c>
      <c r="C47" s="191">
        <f t="shared" si="0"/>
        <v>2400000</v>
      </c>
      <c r="D47" s="192">
        <v>2400000</v>
      </c>
      <c r="E47" s="192"/>
      <c r="F47" s="192"/>
    </row>
    <row r="48" spans="1:6" ht="24" x14ac:dyDescent="0.2">
      <c r="A48" s="189">
        <v>22012600</v>
      </c>
      <c r="B48" s="190" t="s">
        <v>259</v>
      </c>
      <c r="C48" s="191">
        <f t="shared" si="0"/>
        <v>59000</v>
      </c>
      <c r="D48" s="192">
        <v>59000</v>
      </c>
      <c r="E48" s="192"/>
      <c r="F48" s="192"/>
    </row>
    <row r="49" spans="1:6" ht="36" x14ac:dyDescent="0.2">
      <c r="A49" s="187">
        <v>22080000</v>
      </c>
      <c r="B49" s="199" t="s">
        <v>260</v>
      </c>
      <c r="C49" s="185">
        <f t="shared" si="0"/>
        <v>170000</v>
      </c>
      <c r="D49" s="186">
        <f>D50</f>
        <v>170000</v>
      </c>
      <c r="E49" s="192"/>
      <c r="F49" s="192"/>
    </row>
    <row r="50" spans="1:6" ht="36" x14ac:dyDescent="0.2">
      <c r="A50" s="189">
        <v>22080400</v>
      </c>
      <c r="B50" s="190" t="s">
        <v>261</v>
      </c>
      <c r="C50" s="191">
        <f t="shared" si="0"/>
        <v>170000</v>
      </c>
      <c r="D50" s="192">
        <v>170000</v>
      </c>
      <c r="E50" s="192"/>
      <c r="F50" s="192"/>
    </row>
    <row r="51" spans="1:6" ht="15" x14ac:dyDescent="0.2">
      <c r="A51" s="187">
        <v>22090000</v>
      </c>
      <c r="B51" s="199" t="s">
        <v>262</v>
      </c>
      <c r="C51" s="194">
        <f t="shared" si="0"/>
        <v>164000</v>
      </c>
      <c r="D51" s="195">
        <f>D52+D53</f>
        <v>164000</v>
      </c>
      <c r="E51" s="195"/>
      <c r="F51" s="195"/>
    </row>
    <row r="52" spans="1:6" ht="36" x14ac:dyDescent="0.2">
      <c r="A52" s="189">
        <v>22090100</v>
      </c>
      <c r="B52" s="190" t="s">
        <v>263</v>
      </c>
      <c r="C52" s="191">
        <f t="shared" si="0"/>
        <v>90000</v>
      </c>
      <c r="D52" s="192">
        <v>90000</v>
      </c>
      <c r="E52" s="192"/>
      <c r="F52" s="192"/>
    </row>
    <row r="53" spans="1:6" ht="36" x14ac:dyDescent="0.2">
      <c r="A53" s="189">
        <v>22090400</v>
      </c>
      <c r="B53" s="190" t="s">
        <v>264</v>
      </c>
      <c r="C53" s="191">
        <f t="shared" si="0"/>
        <v>74000</v>
      </c>
      <c r="D53" s="192">
        <v>74000</v>
      </c>
      <c r="E53" s="192"/>
      <c r="F53" s="192"/>
    </row>
    <row r="54" spans="1:6" ht="28.5" x14ac:dyDescent="0.2">
      <c r="A54" s="164">
        <v>25000000</v>
      </c>
      <c r="B54" s="198" t="s">
        <v>265</v>
      </c>
      <c r="C54" s="185">
        <f t="shared" si="0"/>
        <v>1788309</v>
      </c>
      <c r="D54" s="185">
        <f>D55+D56+D57</f>
        <v>0</v>
      </c>
      <c r="E54" s="185">
        <f>E55</f>
        <v>1788309</v>
      </c>
      <c r="F54" s="191">
        <f>F55+F56+F57</f>
        <v>0</v>
      </c>
    </row>
    <row r="55" spans="1:6" ht="24" x14ac:dyDescent="0.2">
      <c r="A55" s="200">
        <v>25010000</v>
      </c>
      <c r="B55" s="201" t="s">
        <v>266</v>
      </c>
      <c r="C55" s="191">
        <f t="shared" si="0"/>
        <v>1788309</v>
      </c>
      <c r="D55" s="191"/>
      <c r="E55" s="191">
        <f>E56+E57</f>
        <v>1788309</v>
      </c>
      <c r="F55" s="191"/>
    </row>
    <row r="56" spans="1:6" ht="24" x14ac:dyDescent="0.2">
      <c r="A56" s="189">
        <v>25010100</v>
      </c>
      <c r="B56" s="201" t="s">
        <v>267</v>
      </c>
      <c r="C56" s="191">
        <f t="shared" si="0"/>
        <v>1772109</v>
      </c>
      <c r="D56" s="191"/>
      <c r="E56" s="191">
        <v>1772109</v>
      </c>
      <c r="F56" s="191"/>
    </row>
    <row r="57" spans="1:6" ht="15" x14ac:dyDescent="0.2">
      <c r="A57" s="189">
        <v>25010300</v>
      </c>
      <c r="B57" s="202" t="s">
        <v>268</v>
      </c>
      <c r="C57" s="191">
        <f t="shared" si="0"/>
        <v>16200</v>
      </c>
      <c r="D57" s="191"/>
      <c r="E57" s="191">
        <v>16200</v>
      </c>
      <c r="F57" s="191"/>
    </row>
    <row r="58" spans="1:6" ht="14.25" x14ac:dyDescent="0.2">
      <c r="A58" s="164">
        <v>30000000</v>
      </c>
      <c r="B58" s="184" t="s">
        <v>269</v>
      </c>
      <c r="C58" s="185">
        <f t="shared" si="0"/>
        <v>11500</v>
      </c>
      <c r="D58" s="203">
        <f>D59</f>
        <v>0</v>
      </c>
      <c r="E58" s="203">
        <f>E59</f>
        <v>11500</v>
      </c>
      <c r="F58" s="203">
        <f>F59</f>
        <v>11500</v>
      </c>
    </row>
    <row r="59" spans="1:6" ht="24" x14ac:dyDescent="0.2">
      <c r="A59" s="187">
        <v>33000000</v>
      </c>
      <c r="B59" s="199" t="s">
        <v>270</v>
      </c>
      <c r="C59" s="194">
        <f t="shared" si="0"/>
        <v>11500</v>
      </c>
      <c r="D59" s="195"/>
      <c r="E59" s="204">
        <f>F59</f>
        <v>11500</v>
      </c>
      <c r="F59" s="195">
        <f>F60</f>
        <v>11500</v>
      </c>
    </row>
    <row r="60" spans="1:6" ht="15" x14ac:dyDescent="0.2">
      <c r="A60" s="187">
        <v>33010000</v>
      </c>
      <c r="B60" s="205" t="s">
        <v>271</v>
      </c>
      <c r="C60" s="194"/>
      <c r="D60" s="195"/>
      <c r="E60" s="204">
        <f>F60</f>
        <v>11500</v>
      </c>
      <c r="F60" s="195">
        <f>F61</f>
        <v>11500</v>
      </c>
    </row>
    <row r="61" spans="1:6" ht="60" x14ac:dyDescent="0.2">
      <c r="A61" s="189">
        <v>33010100</v>
      </c>
      <c r="B61" s="201" t="s">
        <v>272</v>
      </c>
      <c r="C61" s="191">
        <f t="shared" si="0"/>
        <v>11500</v>
      </c>
      <c r="D61" s="192"/>
      <c r="E61" s="206">
        <f>F61</f>
        <v>11500</v>
      </c>
      <c r="F61" s="192">
        <f>540000-528500</f>
        <v>11500</v>
      </c>
    </row>
    <row r="62" spans="1:6" ht="15.75" x14ac:dyDescent="0.25">
      <c r="A62" s="189"/>
      <c r="B62" s="207" t="s">
        <v>273</v>
      </c>
      <c r="C62" s="185">
        <f>D62+E62</f>
        <v>40290209</v>
      </c>
      <c r="D62" s="186">
        <f>D10+D38+D58</f>
        <v>38272000</v>
      </c>
      <c r="E62" s="186">
        <f>E10+E38+E58</f>
        <v>2018209</v>
      </c>
      <c r="F62" s="186">
        <f>F10+F38+F58</f>
        <v>11500</v>
      </c>
    </row>
    <row r="63" spans="1:6" ht="14.25" x14ac:dyDescent="0.2">
      <c r="A63" s="164">
        <v>40000000</v>
      </c>
      <c r="B63" s="184" t="s">
        <v>274</v>
      </c>
      <c r="C63" s="185">
        <f t="shared" si="0"/>
        <v>32759976</v>
      </c>
      <c r="D63" s="208">
        <f>D64</f>
        <v>32759976</v>
      </c>
      <c r="E63" s="208">
        <f t="shared" ref="E63:F65" si="1">E64</f>
        <v>0</v>
      </c>
      <c r="F63" s="208">
        <f t="shared" si="1"/>
        <v>0</v>
      </c>
    </row>
    <row r="64" spans="1:6" ht="14.25" x14ac:dyDescent="0.2">
      <c r="A64" s="164">
        <v>41000000</v>
      </c>
      <c r="B64" s="198" t="s">
        <v>275</v>
      </c>
      <c r="C64" s="185">
        <f t="shared" si="0"/>
        <v>32759976</v>
      </c>
      <c r="D64" s="186">
        <f>D65</f>
        <v>32759976</v>
      </c>
      <c r="E64" s="186">
        <f>E65</f>
        <v>0</v>
      </c>
      <c r="F64" s="186">
        <f>F65</f>
        <v>0</v>
      </c>
    </row>
    <row r="65" spans="1:6" ht="30" x14ac:dyDescent="0.2">
      <c r="A65" s="187">
        <v>41040000</v>
      </c>
      <c r="B65" s="188" t="s">
        <v>276</v>
      </c>
      <c r="C65" s="194">
        <f t="shared" si="0"/>
        <v>32759976</v>
      </c>
      <c r="D65" s="194">
        <f>D66</f>
        <v>32759976</v>
      </c>
      <c r="E65" s="194">
        <f t="shared" si="1"/>
        <v>0</v>
      </c>
      <c r="F65" s="194">
        <f t="shared" si="1"/>
        <v>0</v>
      </c>
    </row>
    <row r="66" spans="1:6" ht="15" x14ac:dyDescent="0.2">
      <c r="A66" s="189">
        <v>41040400</v>
      </c>
      <c r="B66" s="117" t="s">
        <v>277</v>
      </c>
      <c r="C66" s="191">
        <f t="shared" si="0"/>
        <v>32759976</v>
      </c>
      <c r="D66" s="191">
        <f>25959639+6800337</f>
        <v>32759976</v>
      </c>
      <c r="E66" s="191"/>
      <c r="F66" s="191"/>
    </row>
    <row r="67" spans="1:6" ht="21" customHeight="1" x14ac:dyDescent="0.2">
      <c r="A67" s="209"/>
      <c r="B67" s="210" t="s">
        <v>278</v>
      </c>
      <c r="C67" s="185">
        <f t="shared" si="0"/>
        <v>73050185</v>
      </c>
      <c r="D67" s="197">
        <f>D62+D63</f>
        <v>71031976</v>
      </c>
      <c r="E67" s="197">
        <f>E62+E63</f>
        <v>2018209</v>
      </c>
      <c r="F67" s="197">
        <f>F62+F63</f>
        <v>11500</v>
      </c>
    </row>
    <row r="68" spans="1:6" ht="37.5" x14ac:dyDescent="0.2">
      <c r="A68" s="1"/>
      <c r="B68" s="85" t="s">
        <v>279</v>
      </c>
      <c r="C68" s="85"/>
      <c r="D68" s="85"/>
      <c r="E68" s="226" t="s">
        <v>280</v>
      </c>
      <c r="F68" s="226"/>
    </row>
  </sheetData>
  <mergeCells count="7">
    <mergeCell ref="E68:F68"/>
    <mergeCell ref="A6:E6"/>
    <mergeCell ref="A8:A9"/>
    <mergeCell ref="B8:B9"/>
    <mergeCell ref="C8:C9"/>
    <mergeCell ref="D8:D9"/>
    <mergeCell ref="E8:F8"/>
  </mergeCells>
  <pageMargins left="0.70866141732283472" right="0" top="0.55118110236220474" bottom="0.55118110236220474" header="0.31496062992125984" footer="0.31496062992125984"/>
  <pageSetup paperSize="9" scale="87" orientation="portrait" verticalDpi="0" r:id="rId1"/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showGridLines="0" showZeros="0" zoomScale="75" workbookViewId="0">
      <selection activeCell="C7" sqref="C7"/>
    </sheetView>
  </sheetViews>
  <sheetFormatPr defaultColWidth="9.1640625" defaultRowHeight="12.75" customHeight="1" x14ac:dyDescent="0.2"/>
  <cols>
    <col min="1" max="1" width="9.5" style="1" customWidth="1"/>
    <col min="2" max="2" width="46.33203125" style="1" customWidth="1"/>
    <col min="3" max="3" width="13" style="1" customWidth="1"/>
    <col min="4" max="4" width="14.5" style="1" customWidth="1"/>
    <col min="5" max="5" width="14.33203125" style="1" customWidth="1"/>
    <col min="6" max="6" width="14.1640625" style="1" customWidth="1"/>
    <col min="7" max="12" width="9.1640625" style="1" customWidth="1"/>
    <col min="13" max="16384" width="9.1640625" style="2"/>
  </cols>
  <sheetData>
    <row r="1" spans="1:12" ht="7.9" customHeight="1" x14ac:dyDescent="0.2"/>
    <row r="2" spans="1:12" ht="12.75" customHeight="1" x14ac:dyDescent="0.2">
      <c r="E2" s="1" t="s">
        <v>103</v>
      </c>
    </row>
    <row r="3" spans="1:12" ht="12.75" customHeight="1" x14ac:dyDescent="0.2">
      <c r="E3" s="1" t="s">
        <v>147</v>
      </c>
    </row>
    <row r="4" spans="1:12" ht="12.75" customHeight="1" x14ac:dyDescent="0.2">
      <c r="E4" s="1" t="s">
        <v>151</v>
      </c>
    </row>
    <row r="5" spans="1:12" ht="12.75" customHeight="1" x14ac:dyDescent="0.2">
      <c r="E5" s="1" t="s">
        <v>150</v>
      </c>
    </row>
    <row r="6" spans="1:12" ht="12.75" customHeight="1" x14ac:dyDescent="0.2">
      <c r="E6" s="1" t="s">
        <v>302</v>
      </c>
    </row>
    <row r="8" spans="1:12" ht="36" customHeight="1" x14ac:dyDescent="0.2">
      <c r="A8" s="231" t="s">
        <v>131</v>
      </c>
      <c r="B8" s="231"/>
      <c r="C8" s="231"/>
      <c r="D8" s="231"/>
      <c r="E8" s="231"/>
      <c r="F8" s="231"/>
    </row>
    <row r="9" spans="1:12" ht="12.75" customHeight="1" x14ac:dyDescent="0.2">
      <c r="A9" s="232"/>
      <c r="B9" s="232"/>
      <c r="C9" s="232"/>
      <c r="D9" s="232"/>
      <c r="E9" s="232"/>
      <c r="F9" s="27" t="s">
        <v>24</v>
      </c>
    </row>
    <row r="10" spans="1:12" s="10" customFormat="1" ht="24.75" customHeight="1" x14ac:dyDescent="0.2">
      <c r="A10" s="229" t="s">
        <v>0</v>
      </c>
      <c r="B10" s="229" t="s">
        <v>1</v>
      </c>
      <c r="C10" s="229" t="s">
        <v>10</v>
      </c>
      <c r="D10" s="229" t="s">
        <v>7</v>
      </c>
      <c r="E10" s="229" t="s">
        <v>8</v>
      </c>
      <c r="F10" s="229"/>
      <c r="G10" s="9"/>
      <c r="H10" s="9"/>
      <c r="I10" s="9"/>
      <c r="J10" s="9"/>
      <c r="K10" s="9"/>
      <c r="L10" s="9"/>
    </row>
    <row r="11" spans="1:12" s="10" customFormat="1" ht="38.25" customHeight="1" x14ac:dyDescent="0.2">
      <c r="A11" s="229"/>
      <c r="B11" s="229"/>
      <c r="C11" s="229"/>
      <c r="D11" s="229"/>
      <c r="E11" s="19" t="s">
        <v>10</v>
      </c>
      <c r="F11" s="18" t="s">
        <v>17</v>
      </c>
      <c r="G11" s="9"/>
      <c r="H11" s="9"/>
      <c r="I11" s="9"/>
      <c r="J11" s="9"/>
      <c r="K11" s="9"/>
      <c r="L11" s="9"/>
    </row>
    <row r="12" spans="1:12" s="11" customFormat="1" ht="26.25" customHeight="1" x14ac:dyDescent="0.2">
      <c r="A12" s="92">
        <v>200000</v>
      </c>
      <c r="B12" s="20" t="s">
        <v>2</v>
      </c>
      <c r="C12" s="222">
        <f>D12+E12</f>
        <v>16224382</v>
      </c>
      <c r="D12" s="52">
        <f>D13</f>
        <v>-10965393</v>
      </c>
      <c r="E12" s="52">
        <f>E13</f>
        <v>27189775</v>
      </c>
      <c r="F12" s="52">
        <f>F13</f>
        <v>27189775</v>
      </c>
      <c r="G12" s="1"/>
      <c r="H12" s="1"/>
      <c r="I12" s="1"/>
      <c r="J12" s="1"/>
      <c r="K12" s="1"/>
      <c r="L12" s="1"/>
    </row>
    <row r="13" spans="1:12" s="13" customFormat="1" ht="30" customHeight="1" x14ac:dyDescent="0.2">
      <c r="A13" s="21">
        <v>208000</v>
      </c>
      <c r="B13" s="26" t="s">
        <v>35</v>
      </c>
      <c r="C13" s="222">
        <f>D13+E13</f>
        <v>16224382</v>
      </c>
      <c r="D13" s="186">
        <f>D14-D15+D16</f>
        <v>-10965393</v>
      </c>
      <c r="E13" s="186">
        <f>E14+E16</f>
        <v>27189775</v>
      </c>
      <c r="F13" s="186">
        <f>F14+F16</f>
        <v>27189775</v>
      </c>
      <c r="G13" s="12"/>
      <c r="H13" s="12"/>
      <c r="I13" s="12"/>
      <c r="J13" s="12"/>
      <c r="K13" s="12"/>
      <c r="L13" s="12"/>
    </row>
    <row r="14" spans="1:12" s="15" customFormat="1" ht="20.25" customHeight="1" x14ac:dyDescent="0.2">
      <c r="A14" s="22">
        <v>208100</v>
      </c>
      <c r="B14" s="23" t="s">
        <v>5</v>
      </c>
      <c r="C14" s="222">
        <f>D14+E14</f>
        <v>16294382</v>
      </c>
      <c r="D14" s="223">
        <f>360000+3961236+70000+1956000+40000+9907146</f>
        <v>16294382</v>
      </c>
      <c r="E14" s="223">
        <v>0</v>
      </c>
      <c r="F14" s="224"/>
      <c r="G14" s="14"/>
      <c r="H14" s="14"/>
      <c r="I14" s="14"/>
      <c r="J14" s="14"/>
      <c r="K14" s="14"/>
      <c r="L14" s="14"/>
    </row>
    <row r="15" spans="1:12" s="15" customFormat="1" ht="20.25" customHeight="1" x14ac:dyDescent="0.2">
      <c r="A15" s="24">
        <v>208200</v>
      </c>
      <c r="B15" s="25" t="s">
        <v>36</v>
      </c>
      <c r="C15" s="225">
        <f>D15+E15</f>
        <v>70000</v>
      </c>
      <c r="D15" s="192">
        <v>70000</v>
      </c>
      <c r="E15" s="192"/>
      <c r="F15" s="224"/>
      <c r="G15" s="14"/>
      <c r="H15" s="14"/>
      <c r="I15" s="14"/>
      <c r="J15" s="14"/>
      <c r="K15" s="14"/>
      <c r="L15" s="14"/>
    </row>
    <row r="16" spans="1:12" s="15" customFormat="1" ht="27.6" customHeight="1" x14ac:dyDescent="0.2">
      <c r="A16" s="24">
        <v>208400</v>
      </c>
      <c r="B16" s="25" t="s">
        <v>37</v>
      </c>
      <c r="C16" s="222" t="s">
        <v>6</v>
      </c>
      <c r="D16" s="192">
        <f>-15779235-62000-2077000-1250000-8021540</f>
        <v>-27189775</v>
      </c>
      <c r="E16" s="192">
        <f>15779235+62000+2077000+1250000+8021540</f>
        <v>27189775</v>
      </c>
      <c r="F16" s="224">
        <f>15841235+2077000+1250000+8021540</f>
        <v>27189775</v>
      </c>
      <c r="G16" s="14"/>
      <c r="H16" s="14"/>
      <c r="I16" s="14"/>
      <c r="J16" s="14"/>
      <c r="K16" s="14"/>
      <c r="L16" s="14"/>
    </row>
    <row r="17" spans="1:17" s="15" customFormat="1" ht="30.6" customHeight="1" x14ac:dyDescent="0.2">
      <c r="A17" s="22"/>
      <c r="B17" s="26" t="s">
        <v>38</v>
      </c>
      <c r="C17" s="222">
        <f>D17+E17</f>
        <v>16224382</v>
      </c>
      <c r="D17" s="223">
        <f>D12</f>
        <v>-10965393</v>
      </c>
      <c r="E17" s="223">
        <f>E12</f>
        <v>27189775</v>
      </c>
      <c r="F17" s="223">
        <f>F12</f>
        <v>27189775</v>
      </c>
      <c r="G17" s="14"/>
      <c r="H17" s="14"/>
      <c r="I17" s="14"/>
      <c r="J17" s="14"/>
      <c r="K17" s="14"/>
      <c r="L17" s="14"/>
    </row>
    <row r="18" spans="1:17" s="13" customFormat="1" ht="22.15" customHeight="1" x14ac:dyDescent="0.2">
      <c r="A18" s="21">
        <v>600000</v>
      </c>
      <c r="B18" s="26" t="s">
        <v>3</v>
      </c>
      <c r="C18" s="222">
        <f>D18+E18</f>
        <v>16224382</v>
      </c>
      <c r="D18" s="186">
        <f>D12</f>
        <v>-10965393</v>
      </c>
      <c r="E18" s="186">
        <f>E12</f>
        <v>27189775</v>
      </c>
      <c r="F18" s="186">
        <f>F12</f>
        <v>27189775</v>
      </c>
      <c r="G18" s="12"/>
      <c r="H18" s="12"/>
      <c r="I18" s="12"/>
      <c r="J18" s="12"/>
      <c r="K18" s="12"/>
      <c r="L18" s="12"/>
    </row>
    <row r="19" spans="1:17" s="15" customFormat="1" ht="18.75" customHeight="1" x14ac:dyDescent="0.2">
      <c r="A19" s="22">
        <v>602000</v>
      </c>
      <c r="B19" s="23" t="s">
        <v>4</v>
      </c>
      <c r="C19" s="222">
        <f>D19+E19</f>
        <v>16224382</v>
      </c>
      <c r="D19" s="223">
        <f>D12</f>
        <v>-10965393</v>
      </c>
      <c r="E19" s="223">
        <f>E12</f>
        <v>27189775</v>
      </c>
      <c r="F19" s="223">
        <f>F12</f>
        <v>27189775</v>
      </c>
      <c r="G19" s="14"/>
      <c r="H19" s="14"/>
      <c r="I19" s="14"/>
      <c r="J19" s="14"/>
      <c r="K19" s="14"/>
      <c r="L19" s="14"/>
    </row>
    <row r="20" spans="1:17" s="15" customFormat="1" ht="18.75" customHeight="1" x14ac:dyDescent="0.2">
      <c r="A20" s="24">
        <v>602100</v>
      </c>
      <c r="B20" s="25" t="s">
        <v>5</v>
      </c>
      <c r="C20" s="222">
        <f>D20+E20</f>
        <v>16294382</v>
      </c>
      <c r="D20" s="192">
        <f>D14</f>
        <v>16294382</v>
      </c>
      <c r="E20" s="192">
        <f>E14</f>
        <v>0</v>
      </c>
      <c r="F20" s="192">
        <f>F14</f>
        <v>0</v>
      </c>
      <c r="G20" s="14"/>
      <c r="H20" s="14"/>
      <c r="I20" s="14"/>
      <c r="J20" s="14"/>
      <c r="K20" s="14"/>
      <c r="L20" s="14"/>
    </row>
    <row r="21" spans="1:17" s="15" customFormat="1" ht="18.75" customHeight="1" x14ac:dyDescent="0.2">
      <c r="A21" s="24">
        <v>602200</v>
      </c>
      <c r="B21" s="25" t="s">
        <v>36</v>
      </c>
      <c r="C21" s="225">
        <f>D21+E21</f>
        <v>70000</v>
      </c>
      <c r="D21" s="192">
        <f>D15</f>
        <v>70000</v>
      </c>
      <c r="E21" s="192">
        <v>0</v>
      </c>
      <c r="F21" s="224"/>
      <c r="G21" s="14"/>
      <c r="H21" s="14"/>
      <c r="I21" s="14"/>
      <c r="J21" s="14"/>
      <c r="K21" s="14"/>
      <c r="L21" s="14"/>
    </row>
    <row r="22" spans="1:17" s="15" customFormat="1" ht="35.450000000000003" customHeight="1" x14ac:dyDescent="0.2">
      <c r="A22" s="24">
        <v>602400</v>
      </c>
      <c r="B22" s="25" t="s">
        <v>37</v>
      </c>
      <c r="C22" s="222" t="s">
        <v>6</v>
      </c>
      <c r="D22" s="192">
        <f>D16</f>
        <v>-27189775</v>
      </c>
      <c r="E22" s="192">
        <f>E16</f>
        <v>27189775</v>
      </c>
      <c r="F22" s="192">
        <f>F16</f>
        <v>27189775</v>
      </c>
      <c r="G22" s="14"/>
      <c r="H22" s="14"/>
      <c r="I22" s="14"/>
      <c r="J22" s="14"/>
      <c r="K22" s="14"/>
      <c r="L22" s="14"/>
    </row>
    <row r="23" spans="1:17" ht="31.15" customHeight="1" x14ac:dyDescent="0.2">
      <c r="A23" s="24"/>
      <c r="B23" s="26" t="s">
        <v>39</v>
      </c>
      <c r="C23" s="222">
        <f>D23+E23</f>
        <v>16224382</v>
      </c>
      <c r="D23" s="224">
        <f>D12</f>
        <v>-10965393</v>
      </c>
      <c r="E23" s="224">
        <f>E12</f>
        <v>27189775</v>
      </c>
      <c r="F23" s="224">
        <f>F12</f>
        <v>27189775</v>
      </c>
    </row>
    <row r="24" spans="1:17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7" ht="56.25" x14ac:dyDescent="0.2">
      <c r="B25" s="85" t="s">
        <v>144</v>
      </c>
      <c r="C25" s="85"/>
      <c r="D25" s="85"/>
      <c r="E25" s="226" t="s">
        <v>196</v>
      </c>
      <c r="F25" s="226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</sheetData>
  <mergeCells count="8">
    <mergeCell ref="E25:F25"/>
    <mergeCell ref="A8:F8"/>
    <mergeCell ref="A9:E9"/>
    <mergeCell ref="A10:A11"/>
    <mergeCell ref="B10:B11"/>
    <mergeCell ref="C10:C11"/>
    <mergeCell ref="D10:D11"/>
    <mergeCell ref="E10:F10"/>
  </mergeCells>
  <phoneticPr fontId="47" type="noConversion"/>
  <printOptions horizontalCentered="1"/>
  <pageMargins left="0.74803149606299213" right="0.74803149606299213" top="0.59055118110236227" bottom="0.78740157480314965" header="0.51181102362204722" footer="0.51181102362204722"/>
  <pageSetup paperSize="9" scale="86" fitToHeight="0" orientation="portrait" horizontalDpi="300" verticalDpi="3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showGridLines="0" showZeros="0" view="pageBreakPreview" topLeftCell="A61" zoomScale="90" zoomScaleNormal="75" zoomScaleSheetLayoutView="90" workbookViewId="0">
      <selection activeCell="J4" sqref="J4"/>
    </sheetView>
  </sheetViews>
  <sheetFormatPr defaultColWidth="9.1640625" defaultRowHeight="12.75" x14ac:dyDescent="0.2"/>
  <cols>
    <col min="1" max="1" width="8.83203125" style="4" customWidth="1"/>
    <col min="2" max="2" width="8.6640625" style="31" customWidth="1"/>
    <col min="3" max="3" width="7.5" style="31" customWidth="1"/>
    <col min="4" max="4" width="48.83203125" style="4" customWidth="1"/>
    <col min="5" max="5" width="12.6640625" style="4" customWidth="1"/>
    <col min="6" max="6" width="11.5" style="4" customWidth="1"/>
    <col min="7" max="7" width="12.6640625" style="4" customWidth="1"/>
    <col min="8" max="8" width="10.83203125" style="4" customWidth="1"/>
    <col min="9" max="9" width="6.5" style="4" customWidth="1"/>
    <col min="10" max="10" width="12.6640625" style="4" customWidth="1"/>
    <col min="11" max="11" width="11.83203125" style="4" customWidth="1"/>
    <col min="12" max="12" width="5.83203125" style="4" customWidth="1"/>
    <col min="13" max="13" width="7.33203125" style="4" customWidth="1"/>
    <col min="14" max="14" width="11.83203125" style="4" customWidth="1"/>
    <col min="15" max="15" width="12.33203125" style="4" customWidth="1"/>
    <col min="16" max="16" width="12.6640625" style="4" customWidth="1"/>
    <col min="17" max="16384" width="9.1640625" style="3"/>
  </cols>
  <sheetData>
    <row r="1" spans="1:17" ht="3" customHeight="1" x14ac:dyDescent="0.2"/>
    <row r="2" spans="1:17" s="17" customFormat="1" ht="19.899999999999999" customHeight="1" x14ac:dyDescent="0.25">
      <c r="A2" s="16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1"/>
      <c r="N2" s="1" t="s">
        <v>104</v>
      </c>
      <c r="O2" s="4"/>
      <c r="P2" s="82"/>
    </row>
    <row r="3" spans="1:17" s="17" customFormat="1" ht="15" customHeight="1" x14ac:dyDescent="0.25">
      <c r="A3" s="16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1"/>
      <c r="N3" s="1" t="s">
        <v>147</v>
      </c>
      <c r="O3" s="4"/>
      <c r="P3" s="82"/>
    </row>
    <row r="4" spans="1:17" s="17" customFormat="1" ht="15" customHeight="1" x14ac:dyDescent="0.25">
      <c r="A4" s="16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1"/>
      <c r="N4" s="1" t="s">
        <v>151</v>
      </c>
      <c r="O4" s="4"/>
      <c r="P4" s="82"/>
    </row>
    <row r="5" spans="1:17" s="17" customFormat="1" ht="15" customHeight="1" x14ac:dyDescent="0.25">
      <c r="A5" s="16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1"/>
      <c r="N5" s="1" t="s">
        <v>150</v>
      </c>
      <c r="O5" s="4"/>
      <c r="P5" s="82"/>
    </row>
    <row r="6" spans="1:17" s="17" customFormat="1" ht="15" customHeight="1" x14ac:dyDescent="0.25">
      <c r="A6" s="16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1"/>
      <c r="N6" s="1" t="s">
        <v>301</v>
      </c>
      <c r="O6" s="82"/>
      <c r="P6" s="82"/>
    </row>
    <row r="7" spans="1:17" s="17" customFormat="1" ht="15" customHeight="1" x14ac:dyDescent="0.25">
      <c r="A7" s="16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1"/>
      <c r="N7" s="82"/>
      <c r="O7" s="82"/>
      <c r="P7" s="82"/>
    </row>
    <row r="8" spans="1:17" ht="27" customHeight="1" x14ac:dyDescent="0.2">
      <c r="A8" s="1"/>
      <c r="B8" s="233" t="s">
        <v>130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</row>
    <row r="9" spans="1:17" ht="10.15" customHeight="1" x14ac:dyDescent="0.3">
      <c r="B9" s="32"/>
      <c r="C9" s="32"/>
      <c r="D9" s="5"/>
      <c r="E9" s="5"/>
      <c r="F9" s="5"/>
      <c r="G9" s="8"/>
      <c r="H9" s="5"/>
      <c r="I9" s="5"/>
      <c r="J9" s="6"/>
      <c r="K9" s="7"/>
      <c r="L9" s="7"/>
      <c r="M9" s="7"/>
      <c r="N9" s="7"/>
      <c r="O9" s="7"/>
      <c r="P9" s="27" t="s">
        <v>34</v>
      </c>
    </row>
    <row r="10" spans="1:17" s="40" customFormat="1" ht="21.75" customHeight="1" x14ac:dyDescent="0.2">
      <c r="A10" s="239" t="s">
        <v>93</v>
      </c>
      <c r="B10" s="244" t="s">
        <v>22</v>
      </c>
      <c r="C10" s="247" t="s">
        <v>23</v>
      </c>
      <c r="D10" s="238" t="s">
        <v>70</v>
      </c>
      <c r="E10" s="235" t="s">
        <v>7</v>
      </c>
      <c r="F10" s="235"/>
      <c r="G10" s="235"/>
      <c r="H10" s="235"/>
      <c r="I10" s="235"/>
      <c r="J10" s="235" t="s">
        <v>8</v>
      </c>
      <c r="K10" s="235"/>
      <c r="L10" s="235"/>
      <c r="M10" s="235"/>
      <c r="N10" s="235"/>
      <c r="O10" s="235"/>
      <c r="P10" s="235" t="s">
        <v>9</v>
      </c>
    </row>
    <row r="11" spans="1:17" s="40" customFormat="1" ht="16.5" customHeight="1" x14ac:dyDescent="0.2">
      <c r="A11" s="240"/>
      <c r="B11" s="245"/>
      <c r="C11" s="247"/>
      <c r="D11" s="234"/>
      <c r="E11" s="234" t="s">
        <v>10</v>
      </c>
      <c r="F11" s="237" t="s">
        <v>11</v>
      </c>
      <c r="G11" s="234" t="s">
        <v>12</v>
      </c>
      <c r="H11" s="234"/>
      <c r="I11" s="237" t="s">
        <v>13</v>
      </c>
      <c r="J11" s="234" t="s">
        <v>10</v>
      </c>
      <c r="K11" s="237" t="s">
        <v>11</v>
      </c>
      <c r="L11" s="234" t="s">
        <v>12</v>
      </c>
      <c r="M11" s="234"/>
      <c r="N11" s="237" t="s">
        <v>13</v>
      </c>
      <c r="O11" s="41" t="s">
        <v>12</v>
      </c>
      <c r="P11" s="235"/>
    </row>
    <row r="12" spans="1:17" s="40" customFormat="1" ht="20.25" customHeight="1" x14ac:dyDescent="0.2">
      <c r="A12" s="240"/>
      <c r="B12" s="245"/>
      <c r="C12" s="247"/>
      <c r="D12" s="234"/>
      <c r="E12" s="234"/>
      <c r="F12" s="237"/>
      <c r="G12" s="234" t="s">
        <v>14</v>
      </c>
      <c r="H12" s="234" t="s">
        <v>15</v>
      </c>
      <c r="I12" s="237"/>
      <c r="J12" s="234"/>
      <c r="K12" s="237"/>
      <c r="L12" s="234" t="s">
        <v>14</v>
      </c>
      <c r="M12" s="236" t="s">
        <v>15</v>
      </c>
      <c r="N12" s="237"/>
      <c r="O12" s="238" t="s">
        <v>18</v>
      </c>
      <c r="P12" s="235"/>
    </row>
    <row r="13" spans="1:17" s="40" customFormat="1" ht="25.15" customHeight="1" x14ac:dyDescent="0.2">
      <c r="A13" s="241"/>
      <c r="B13" s="246"/>
      <c r="C13" s="247"/>
      <c r="D13" s="234"/>
      <c r="E13" s="234"/>
      <c r="F13" s="237"/>
      <c r="G13" s="234"/>
      <c r="H13" s="234"/>
      <c r="I13" s="237"/>
      <c r="J13" s="234"/>
      <c r="K13" s="237"/>
      <c r="L13" s="234"/>
      <c r="M13" s="236"/>
      <c r="N13" s="237"/>
      <c r="O13" s="238"/>
      <c r="P13" s="235"/>
    </row>
    <row r="14" spans="1:17" s="44" customFormat="1" ht="21.6" customHeight="1" x14ac:dyDescent="0.2">
      <c r="A14" s="83" t="s">
        <v>107</v>
      </c>
      <c r="B14" s="42"/>
      <c r="C14" s="42"/>
      <c r="D14" s="43" t="s">
        <v>105</v>
      </c>
      <c r="E14" s="47">
        <f t="shared" ref="E14:O14" si="0">E15</f>
        <v>16546830</v>
      </c>
      <c r="F14" s="47">
        <f t="shared" si="0"/>
        <v>16546830</v>
      </c>
      <c r="G14" s="47">
        <f t="shared" si="0"/>
        <v>7121043</v>
      </c>
      <c r="H14" s="47">
        <f t="shared" si="0"/>
        <v>2419956</v>
      </c>
      <c r="I14" s="47">
        <f t="shared" si="0"/>
        <v>0</v>
      </c>
      <c r="J14" s="47">
        <f t="shared" si="0"/>
        <v>378588</v>
      </c>
      <c r="K14" s="47">
        <f t="shared" si="0"/>
        <v>378588</v>
      </c>
      <c r="L14" s="47">
        <f t="shared" si="0"/>
        <v>0</v>
      </c>
      <c r="M14" s="47">
        <f t="shared" si="0"/>
        <v>0</v>
      </c>
      <c r="N14" s="47">
        <f t="shared" si="0"/>
        <v>0</v>
      </c>
      <c r="O14" s="47">
        <f t="shared" si="0"/>
        <v>0</v>
      </c>
      <c r="P14" s="47">
        <f>E14+J14</f>
        <v>16925418</v>
      </c>
    </row>
    <row r="15" spans="1:17" s="40" customFormat="1" ht="14.25" x14ac:dyDescent="0.2">
      <c r="A15" s="84" t="s">
        <v>108</v>
      </c>
      <c r="B15" s="42"/>
      <c r="C15" s="42"/>
      <c r="D15" s="43" t="s">
        <v>106</v>
      </c>
      <c r="E15" s="47">
        <f>F15</f>
        <v>16546830</v>
      </c>
      <c r="F15" s="47">
        <f t="shared" ref="F15:O15" si="1">F16+F17+F20+F23+F27+F29+F31+F33+F35</f>
        <v>16546830</v>
      </c>
      <c r="G15" s="47">
        <f t="shared" si="1"/>
        <v>7121043</v>
      </c>
      <c r="H15" s="47">
        <f t="shared" si="1"/>
        <v>2419956</v>
      </c>
      <c r="I15" s="47">
        <f t="shared" si="1"/>
        <v>0</v>
      </c>
      <c r="J15" s="47">
        <f t="shared" si="1"/>
        <v>378588</v>
      </c>
      <c r="K15" s="47">
        <f t="shared" si="1"/>
        <v>378588</v>
      </c>
      <c r="L15" s="47">
        <f t="shared" si="1"/>
        <v>0</v>
      </c>
      <c r="M15" s="47">
        <f t="shared" si="1"/>
        <v>0</v>
      </c>
      <c r="N15" s="47">
        <f t="shared" si="1"/>
        <v>0</v>
      </c>
      <c r="O15" s="47">
        <f t="shared" si="1"/>
        <v>0</v>
      </c>
      <c r="P15" s="47">
        <f t="shared" ref="P15:P36" si="2">E15+J15</f>
        <v>16925418</v>
      </c>
    </row>
    <row r="16" spans="1:17" s="40" customFormat="1" ht="70.900000000000006" customHeight="1" x14ac:dyDescent="0.2">
      <c r="A16" s="74" t="s">
        <v>71</v>
      </c>
      <c r="B16" s="55" t="s">
        <v>43</v>
      </c>
      <c r="C16" s="55" t="s">
        <v>16</v>
      </c>
      <c r="D16" s="56" t="s">
        <v>44</v>
      </c>
      <c r="E16" s="57">
        <f>F16</f>
        <v>4386860</v>
      </c>
      <c r="F16" s="57">
        <f>4386860</f>
        <v>4386860</v>
      </c>
      <c r="G16" s="57">
        <v>3007496</v>
      </c>
      <c r="H16" s="57">
        <v>239299</v>
      </c>
      <c r="I16" s="57"/>
      <c r="J16" s="57">
        <f>K16+N16</f>
        <v>0</v>
      </c>
      <c r="K16" s="57">
        <f>L16+M16</f>
        <v>0</v>
      </c>
      <c r="L16" s="57"/>
      <c r="M16" s="57"/>
      <c r="N16" s="57">
        <f>O16</f>
        <v>0</v>
      </c>
      <c r="O16" s="57">
        <v>0</v>
      </c>
      <c r="P16" s="57">
        <f t="shared" si="2"/>
        <v>4386860</v>
      </c>
      <c r="Q16" s="46"/>
    </row>
    <row r="17" spans="1:17" s="40" customFormat="1" ht="16.149999999999999" customHeight="1" x14ac:dyDescent="0.2">
      <c r="A17" s="74" t="s">
        <v>72</v>
      </c>
      <c r="B17" s="55" t="s">
        <v>46</v>
      </c>
      <c r="C17" s="55"/>
      <c r="D17" s="56" t="s">
        <v>47</v>
      </c>
      <c r="E17" s="57">
        <f>E18+E19</f>
        <v>9260074</v>
      </c>
      <c r="F17" s="57">
        <f>F18+F19</f>
        <v>9260074</v>
      </c>
      <c r="G17" s="57">
        <f>G18+G19</f>
        <v>3649848</v>
      </c>
      <c r="H17" s="57">
        <f>H18+H19</f>
        <v>1531375</v>
      </c>
      <c r="I17" s="57">
        <f>I18+I19</f>
        <v>0</v>
      </c>
      <c r="J17" s="57">
        <f t="shared" ref="J17:J36" si="3">K17+N17</f>
        <v>378588</v>
      </c>
      <c r="K17" s="57">
        <f>K18+K19</f>
        <v>378588</v>
      </c>
      <c r="L17" s="57"/>
      <c r="M17" s="57"/>
      <c r="N17" s="57">
        <f>O17</f>
        <v>0</v>
      </c>
      <c r="O17" s="57">
        <f>O18+O19</f>
        <v>0</v>
      </c>
      <c r="P17" s="57">
        <f t="shared" si="2"/>
        <v>9638662</v>
      </c>
      <c r="Q17" s="46"/>
    </row>
    <row r="18" spans="1:17" s="40" customFormat="1" ht="15" x14ac:dyDescent="0.2">
      <c r="A18" s="74" t="s">
        <v>73</v>
      </c>
      <c r="B18" s="58">
        <v>1010</v>
      </c>
      <c r="C18" s="49" t="s">
        <v>25</v>
      </c>
      <c r="D18" s="59" t="s">
        <v>45</v>
      </c>
      <c r="E18" s="215">
        <f>F18</f>
        <v>9255074</v>
      </c>
      <c r="F18" s="215">
        <f>9255074</f>
        <v>9255074</v>
      </c>
      <c r="G18" s="215">
        <v>3649848</v>
      </c>
      <c r="H18" s="215">
        <v>1531375</v>
      </c>
      <c r="I18" s="215"/>
      <c r="J18" s="57">
        <f t="shared" si="3"/>
        <v>378588</v>
      </c>
      <c r="K18" s="57">
        <v>378588</v>
      </c>
      <c r="L18" s="215"/>
      <c r="M18" s="215"/>
      <c r="N18" s="57">
        <f>O18</f>
        <v>0</v>
      </c>
      <c r="O18" s="57"/>
      <c r="P18" s="57">
        <f t="shared" si="2"/>
        <v>9633662</v>
      </c>
      <c r="Q18" s="46"/>
    </row>
    <row r="19" spans="1:17" s="40" customFormat="1" ht="30" x14ac:dyDescent="0.2">
      <c r="A19" s="74" t="s">
        <v>74</v>
      </c>
      <c r="B19" s="58">
        <v>1140</v>
      </c>
      <c r="C19" s="49" t="s">
        <v>48</v>
      </c>
      <c r="D19" s="59" t="s">
        <v>49</v>
      </c>
      <c r="E19" s="215">
        <f>F19</f>
        <v>5000</v>
      </c>
      <c r="F19" s="215">
        <v>5000</v>
      </c>
      <c r="G19" s="215"/>
      <c r="H19" s="215"/>
      <c r="I19" s="215"/>
      <c r="J19" s="57"/>
      <c r="K19" s="57"/>
      <c r="L19" s="215"/>
      <c r="M19" s="215"/>
      <c r="N19" s="57"/>
      <c r="O19" s="57"/>
      <c r="P19" s="57">
        <f t="shared" si="2"/>
        <v>5000</v>
      </c>
      <c r="Q19" s="46"/>
    </row>
    <row r="20" spans="1:17" s="40" customFormat="1" ht="16.899999999999999" customHeight="1" x14ac:dyDescent="0.2">
      <c r="A20" s="74" t="s">
        <v>75</v>
      </c>
      <c r="B20" s="60">
        <v>3000</v>
      </c>
      <c r="C20" s="49"/>
      <c r="D20" s="56" t="s">
        <v>26</v>
      </c>
      <c r="E20" s="57">
        <f t="shared" ref="E20:O20" si="4">E21+E22</f>
        <v>126365</v>
      </c>
      <c r="F20" s="57">
        <f t="shared" si="4"/>
        <v>126365</v>
      </c>
      <c r="G20" s="57">
        <f t="shared" si="4"/>
        <v>62595</v>
      </c>
      <c r="H20" s="57">
        <f t="shared" si="4"/>
        <v>0</v>
      </c>
      <c r="I20" s="57">
        <f t="shared" si="4"/>
        <v>0</v>
      </c>
      <c r="J20" s="57">
        <f t="shared" si="4"/>
        <v>0</v>
      </c>
      <c r="K20" s="57">
        <f t="shared" si="4"/>
        <v>0</v>
      </c>
      <c r="L20" s="57">
        <f t="shared" si="4"/>
        <v>0</v>
      </c>
      <c r="M20" s="57">
        <f t="shared" si="4"/>
        <v>0</v>
      </c>
      <c r="N20" s="57">
        <f t="shared" si="4"/>
        <v>0</v>
      </c>
      <c r="O20" s="57">
        <f t="shared" si="4"/>
        <v>0</v>
      </c>
      <c r="P20" s="57">
        <f t="shared" si="2"/>
        <v>126365</v>
      </c>
      <c r="Q20" s="46"/>
    </row>
    <row r="21" spans="1:17" s="40" customFormat="1" ht="30" x14ac:dyDescent="0.2">
      <c r="A21" s="74" t="s">
        <v>76</v>
      </c>
      <c r="B21" s="58">
        <v>3210</v>
      </c>
      <c r="C21" s="49" t="s">
        <v>41</v>
      </c>
      <c r="D21" s="61" t="s">
        <v>42</v>
      </c>
      <c r="E21" s="215">
        <f>F21</f>
        <v>76365</v>
      </c>
      <c r="F21" s="215">
        <v>76365</v>
      </c>
      <c r="G21" s="215">
        <v>62595</v>
      </c>
      <c r="H21" s="215"/>
      <c r="I21" s="215"/>
      <c r="J21" s="57"/>
      <c r="K21" s="57"/>
      <c r="L21" s="215"/>
      <c r="M21" s="215"/>
      <c r="N21" s="57"/>
      <c r="O21" s="215"/>
      <c r="P21" s="57">
        <f t="shared" si="2"/>
        <v>76365</v>
      </c>
      <c r="Q21" s="46"/>
    </row>
    <row r="22" spans="1:17" s="40" customFormat="1" ht="30" x14ac:dyDescent="0.2">
      <c r="A22" s="74" t="s">
        <v>77</v>
      </c>
      <c r="B22" s="58">
        <v>3242</v>
      </c>
      <c r="C22" s="49" t="s">
        <v>27</v>
      </c>
      <c r="D22" s="61" t="s">
        <v>62</v>
      </c>
      <c r="E22" s="215">
        <f>F22</f>
        <v>50000</v>
      </c>
      <c r="F22" s="215">
        <v>50000</v>
      </c>
      <c r="G22" s="57"/>
      <c r="H22" s="57"/>
      <c r="I22" s="57"/>
      <c r="J22" s="57">
        <f t="shared" si="3"/>
        <v>0</v>
      </c>
      <c r="K22" s="57">
        <f>L22+M22</f>
        <v>0</v>
      </c>
      <c r="L22" s="57"/>
      <c r="M22" s="57"/>
      <c r="N22" s="57">
        <f>O22</f>
        <v>0</v>
      </c>
      <c r="O22" s="57"/>
      <c r="P22" s="57">
        <f t="shared" si="2"/>
        <v>50000</v>
      </c>
      <c r="Q22" s="46"/>
    </row>
    <row r="23" spans="1:17" s="40" customFormat="1" ht="14.25" x14ac:dyDescent="0.2">
      <c r="A23" s="74" t="s">
        <v>78</v>
      </c>
      <c r="B23" s="60">
        <v>4000</v>
      </c>
      <c r="C23" s="55"/>
      <c r="D23" s="56" t="s">
        <v>28</v>
      </c>
      <c r="E23" s="57">
        <f t="shared" ref="E23:J23" si="5">E24+E25+E26</f>
        <v>848299</v>
      </c>
      <c r="F23" s="57">
        <f t="shared" si="5"/>
        <v>848299</v>
      </c>
      <c r="G23" s="57">
        <f t="shared" si="5"/>
        <v>347241</v>
      </c>
      <c r="H23" s="57">
        <f t="shared" si="5"/>
        <v>107964</v>
      </c>
      <c r="I23" s="57">
        <f t="shared" si="5"/>
        <v>0</v>
      </c>
      <c r="J23" s="57">
        <f t="shared" si="5"/>
        <v>0</v>
      </c>
      <c r="K23" s="57">
        <f>K24+K26</f>
        <v>0</v>
      </c>
      <c r="L23" s="57">
        <f>L24+L26</f>
        <v>0</v>
      </c>
      <c r="M23" s="57">
        <f>M24+M26</f>
        <v>0</v>
      </c>
      <c r="N23" s="57">
        <f>N24+N26</f>
        <v>0</v>
      </c>
      <c r="O23" s="57">
        <f>O24+O26</f>
        <v>0</v>
      </c>
      <c r="P23" s="57">
        <f t="shared" si="2"/>
        <v>848299</v>
      </c>
      <c r="Q23" s="46"/>
    </row>
    <row r="24" spans="1:17" s="40" customFormat="1" ht="38.25" x14ac:dyDescent="0.2">
      <c r="A24" s="74" t="s">
        <v>79</v>
      </c>
      <c r="B24" s="58">
        <v>4060</v>
      </c>
      <c r="C24" s="49" t="s">
        <v>29</v>
      </c>
      <c r="D24" s="62" t="s">
        <v>60</v>
      </c>
      <c r="E24" s="215">
        <f>F24</f>
        <v>674521</v>
      </c>
      <c r="F24" s="215">
        <v>674521</v>
      </c>
      <c r="G24" s="215">
        <v>329934</v>
      </c>
      <c r="H24" s="215">
        <v>107964</v>
      </c>
      <c r="I24" s="57"/>
      <c r="J24" s="57">
        <f t="shared" si="3"/>
        <v>0</v>
      </c>
      <c r="K24" s="57"/>
      <c r="L24" s="57"/>
      <c r="M24" s="57"/>
      <c r="N24" s="57">
        <f>O24</f>
        <v>0</v>
      </c>
      <c r="O24" s="57"/>
      <c r="P24" s="57">
        <f t="shared" si="2"/>
        <v>674521</v>
      </c>
      <c r="Q24" s="46"/>
    </row>
    <row r="25" spans="1:17" s="40" customFormat="1" ht="25.5" x14ac:dyDescent="0.2">
      <c r="A25" s="74" t="s">
        <v>80</v>
      </c>
      <c r="B25" s="58">
        <v>4081</v>
      </c>
      <c r="C25" s="49" t="s">
        <v>50</v>
      </c>
      <c r="D25" s="62" t="s">
        <v>63</v>
      </c>
      <c r="E25" s="215">
        <f>F25</f>
        <v>23778</v>
      </c>
      <c r="F25" s="215">
        <v>23778</v>
      </c>
      <c r="G25" s="215">
        <v>17307</v>
      </c>
      <c r="H25" s="215"/>
      <c r="I25" s="57"/>
      <c r="J25" s="57"/>
      <c r="K25" s="57"/>
      <c r="L25" s="57"/>
      <c r="M25" s="57"/>
      <c r="N25" s="57"/>
      <c r="O25" s="57"/>
      <c r="P25" s="57">
        <f t="shared" si="2"/>
        <v>23778</v>
      </c>
      <c r="Q25" s="46"/>
    </row>
    <row r="26" spans="1:17" s="40" customFormat="1" ht="15" x14ac:dyDescent="0.2">
      <c r="A26" s="74" t="s">
        <v>81</v>
      </c>
      <c r="B26" s="58">
        <v>4082</v>
      </c>
      <c r="C26" s="49" t="s">
        <v>50</v>
      </c>
      <c r="D26" s="62" t="s">
        <v>64</v>
      </c>
      <c r="E26" s="215">
        <f>F26</f>
        <v>150000</v>
      </c>
      <c r="F26" s="215">
        <v>150000</v>
      </c>
      <c r="G26" s="215"/>
      <c r="H26" s="215"/>
      <c r="I26" s="57"/>
      <c r="J26" s="57">
        <f t="shared" si="3"/>
        <v>0</v>
      </c>
      <c r="K26" s="57"/>
      <c r="L26" s="57"/>
      <c r="M26" s="57"/>
      <c r="N26" s="57">
        <f>O26</f>
        <v>0</v>
      </c>
      <c r="O26" s="57"/>
      <c r="P26" s="57">
        <f t="shared" si="2"/>
        <v>150000</v>
      </c>
      <c r="Q26" s="46"/>
    </row>
    <row r="27" spans="1:17" s="40" customFormat="1" ht="15" x14ac:dyDescent="0.2">
      <c r="A27" s="74" t="s">
        <v>82</v>
      </c>
      <c r="B27" s="60">
        <v>5000</v>
      </c>
      <c r="C27" s="49"/>
      <c r="D27" s="56" t="s">
        <v>30</v>
      </c>
      <c r="E27" s="57">
        <f>E28</f>
        <v>136914</v>
      </c>
      <c r="F27" s="57">
        <f t="shared" ref="F27:O27" si="6">F28</f>
        <v>136914</v>
      </c>
      <c r="G27" s="57">
        <f t="shared" si="6"/>
        <v>53863</v>
      </c>
      <c r="H27" s="57">
        <f t="shared" si="6"/>
        <v>40000</v>
      </c>
      <c r="I27" s="57">
        <f t="shared" si="6"/>
        <v>0</v>
      </c>
      <c r="J27" s="57">
        <f t="shared" si="6"/>
        <v>0</v>
      </c>
      <c r="K27" s="57">
        <f t="shared" si="6"/>
        <v>0</v>
      </c>
      <c r="L27" s="57">
        <f t="shared" si="6"/>
        <v>0</v>
      </c>
      <c r="M27" s="57">
        <f t="shared" si="6"/>
        <v>0</v>
      </c>
      <c r="N27" s="57">
        <f t="shared" si="6"/>
        <v>0</v>
      </c>
      <c r="O27" s="57">
        <f t="shared" si="6"/>
        <v>0</v>
      </c>
      <c r="P27" s="57">
        <f t="shared" si="2"/>
        <v>136914</v>
      </c>
      <c r="Q27" s="46"/>
    </row>
    <row r="28" spans="1:17" s="40" customFormat="1" ht="51" x14ac:dyDescent="0.2">
      <c r="A28" s="74" t="s">
        <v>83</v>
      </c>
      <c r="B28" s="58">
        <v>5061</v>
      </c>
      <c r="C28" s="49" t="s">
        <v>31</v>
      </c>
      <c r="D28" s="62" t="s">
        <v>40</v>
      </c>
      <c r="E28" s="215">
        <f>F28</f>
        <v>136914</v>
      </c>
      <c r="F28" s="215">
        <v>136914</v>
      </c>
      <c r="G28" s="215">
        <v>53863</v>
      </c>
      <c r="H28" s="215">
        <v>40000</v>
      </c>
      <c r="I28" s="215"/>
      <c r="J28" s="57">
        <f t="shared" si="3"/>
        <v>0</v>
      </c>
      <c r="K28" s="57">
        <f>L28+M28</f>
        <v>0</v>
      </c>
      <c r="L28" s="57"/>
      <c r="M28" s="57"/>
      <c r="N28" s="57">
        <f>O28</f>
        <v>0</v>
      </c>
      <c r="O28" s="57"/>
      <c r="P28" s="57">
        <f t="shared" si="2"/>
        <v>136914</v>
      </c>
      <c r="Q28" s="46"/>
    </row>
    <row r="29" spans="1:17" s="40" customFormat="1" ht="15" x14ac:dyDescent="0.2">
      <c r="A29" s="74" t="s">
        <v>84</v>
      </c>
      <c r="B29" s="60">
        <v>6000</v>
      </c>
      <c r="C29" s="49"/>
      <c r="D29" s="56" t="s">
        <v>32</v>
      </c>
      <c r="E29" s="57">
        <f>E30</f>
        <v>1332318</v>
      </c>
      <c r="F29" s="57">
        <f t="shared" ref="F29:O29" si="7">F30</f>
        <v>1332318</v>
      </c>
      <c r="G29" s="57">
        <f t="shared" si="7"/>
        <v>0</v>
      </c>
      <c r="H29" s="57">
        <f t="shared" si="7"/>
        <v>501318</v>
      </c>
      <c r="I29" s="57">
        <f t="shared" si="7"/>
        <v>0</v>
      </c>
      <c r="J29" s="57">
        <f t="shared" si="7"/>
        <v>0</v>
      </c>
      <c r="K29" s="57">
        <f t="shared" si="7"/>
        <v>0</v>
      </c>
      <c r="L29" s="57">
        <f t="shared" si="7"/>
        <v>0</v>
      </c>
      <c r="M29" s="57">
        <f t="shared" si="7"/>
        <v>0</v>
      </c>
      <c r="N29" s="57">
        <f t="shared" si="7"/>
        <v>0</v>
      </c>
      <c r="O29" s="57">
        <f t="shared" si="7"/>
        <v>0</v>
      </c>
      <c r="P29" s="57">
        <f t="shared" si="2"/>
        <v>1332318</v>
      </c>
      <c r="Q29" s="46"/>
    </row>
    <row r="30" spans="1:17" s="40" customFormat="1" ht="15" x14ac:dyDescent="0.2">
      <c r="A30" s="74" t="s">
        <v>85</v>
      </c>
      <c r="B30" s="58">
        <v>6030</v>
      </c>
      <c r="C30" s="49" t="s">
        <v>33</v>
      </c>
      <c r="D30" s="61" t="s">
        <v>51</v>
      </c>
      <c r="E30" s="215">
        <f>F30</f>
        <v>1332318</v>
      </c>
      <c r="F30" s="215">
        <v>1332318</v>
      </c>
      <c r="G30" s="215"/>
      <c r="H30" s="215">
        <v>501318</v>
      </c>
      <c r="I30" s="57"/>
      <c r="J30" s="57">
        <f t="shared" si="3"/>
        <v>0</v>
      </c>
      <c r="K30" s="57">
        <f>L30+M30</f>
        <v>0</v>
      </c>
      <c r="L30" s="57"/>
      <c r="M30" s="57"/>
      <c r="N30" s="57">
        <f>O30</f>
        <v>0</v>
      </c>
      <c r="O30" s="215"/>
      <c r="P30" s="57">
        <f t="shared" si="2"/>
        <v>1332318</v>
      </c>
      <c r="Q30" s="46"/>
    </row>
    <row r="31" spans="1:17" s="40" customFormat="1" ht="27.6" customHeight="1" x14ac:dyDescent="0.2">
      <c r="A31" s="74" t="s">
        <v>86</v>
      </c>
      <c r="B31" s="68">
        <v>7100</v>
      </c>
      <c r="C31" s="71"/>
      <c r="D31" s="72" t="s">
        <v>65</v>
      </c>
      <c r="E31" s="221">
        <f>F31</f>
        <v>416000</v>
      </c>
      <c r="F31" s="215">
        <f>F32</f>
        <v>416000</v>
      </c>
      <c r="G31" s="215">
        <f>G32</f>
        <v>0</v>
      </c>
      <c r="H31" s="215">
        <f>H32</f>
        <v>0</v>
      </c>
      <c r="I31" s="215">
        <f>I32</f>
        <v>0</v>
      </c>
      <c r="J31" s="57">
        <f t="shared" si="3"/>
        <v>0</v>
      </c>
      <c r="K31" s="57"/>
      <c r="L31" s="57"/>
      <c r="M31" s="57"/>
      <c r="N31" s="57"/>
      <c r="O31" s="215"/>
      <c r="P31" s="57">
        <f t="shared" si="2"/>
        <v>416000</v>
      </c>
      <c r="Q31" s="46"/>
    </row>
    <row r="32" spans="1:17" s="40" customFormat="1" ht="15" x14ac:dyDescent="0.2">
      <c r="A32" s="74" t="s">
        <v>87</v>
      </c>
      <c r="B32" s="58">
        <v>7130</v>
      </c>
      <c r="C32" s="69" t="s">
        <v>66</v>
      </c>
      <c r="D32" s="70" t="s">
        <v>67</v>
      </c>
      <c r="E32" s="215">
        <f>F32</f>
        <v>416000</v>
      </c>
      <c r="F32" s="215">
        <f>216000+200000</f>
        <v>416000</v>
      </c>
      <c r="G32" s="215"/>
      <c r="H32" s="215"/>
      <c r="I32" s="57"/>
      <c r="J32" s="57">
        <f t="shared" si="3"/>
        <v>0</v>
      </c>
      <c r="K32" s="57"/>
      <c r="L32" s="57"/>
      <c r="M32" s="57"/>
      <c r="N32" s="57"/>
      <c r="O32" s="215"/>
      <c r="P32" s="57">
        <f t="shared" si="2"/>
        <v>416000</v>
      </c>
      <c r="Q32" s="46"/>
    </row>
    <row r="33" spans="1:17" s="40" customFormat="1" ht="15" x14ac:dyDescent="0.2">
      <c r="A33" s="74" t="s">
        <v>88</v>
      </c>
      <c r="B33" s="60">
        <v>7300</v>
      </c>
      <c r="C33" s="49"/>
      <c r="D33" s="56" t="s">
        <v>52</v>
      </c>
      <c r="E33" s="57">
        <f>E34</f>
        <v>20000</v>
      </c>
      <c r="F33" s="57">
        <f>F34</f>
        <v>20000</v>
      </c>
      <c r="G33" s="57">
        <f t="shared" ref="G33:O33" si="8">G34</f>
        <v>0</v>
      </c>
      <c r="H33" s="57">
        <f t="shared" si="8"/>
        <v>0</v>
      </c>
      <c r="I33" s="57">
        <f t="shared" si="8"/>
        <v>0</v>
      </c>
      <c r="J33" s="57">
        <f t="shared" si="8"/>
        <v>0</v>
      </c>
      <c r="K33" s="57">
        <f t="shared" si="8"/>
        <v>0</v>
      </c>
      <c r="L33" s="57">
        <f t="shared" si="8"/>
        <v>0</v>
      </c>
      <c r="M33" s="57">
        <f t="shared" si="8"/>
        <v>0</v>
      </c>
      <c r="N33" s="57">
        <f t="shared" si="8"/>
        <v>0</v>
      </c>
      <c r="O33" s="57">
        <f t="shared" si="8"/>
        <v>0</v>
      </c>
      <c r="P33" s="57">
        <f t="shared" si="2"/>
        <v>20000</v>
      </c>
      <c r="Q33" s="46"/>
    </row>
    <row r="34" spans="1:17" s="40" customFormat="1" ht="30" x14ac:dyDescent="0.25">
      <c r="A34" s="74" t="s">
        <v>89</v>
      </c>
      <c r="B34" s="58">
        <v>7350</v>
      </c>
      <c r="C34" s="49" t="s">
        <v>55</v>
      </c>
      <c r="D34" s="67" t="s">
        <v>68</v>
      </c>
      <c r="E34" s="215">
        <f>F34</f>
        <v>20000</v>
      </c>
      <c r="F34" s="215">
        <v>20000</v>
      </c>
      <c r="G34" s="57"/>
      <c r="H34" s="57"/>
      <c r="I34" s="57"/>
      <c r="J34" s="57">
        <f t="shared" si="3"/>
        <v>0</v>
      </c>
      <c r="K34" s="57"/>
      <c r="L34" s="57"/>
      <c r="M34" s="57"/>
      <c r="N34" s="57"/>
      <c r="O34" s="215"/>
      <c r="P34" s="57">
        <f t="shared" si="2"/>
        <v>20000</v>
      </c>
      <c r="Q34" s="46"/>
    </row>
    <row r="35" spans="1:17" s="40" customFormat="1" ht="28.5" x14ac:dyDescent="0.2">
      <c r="A35" s="74" t="s">
        <v>90</v>
      </c>
      <c r="B35" s="60">
        <v>7600</v>
      </c>
      <c r="C35" s="49"/>
      <c r="D35" s="56" t="s">
        <v>53</v>
      </c>
      <c r="E35" s="57">
        <f>E36</f>
        <v>20000</v>
      </c>
      <c r="F35" s="57">
        <f>F36</f>
        <v>20000</v>
      </c>
      <c r="G35" s="57">
        <f>G36</f>
        <v>0</v>
      </c>
      <c r="H35" s="57">
        <f>H36</f>
        <v>0</v>
      </c>
      <c r="I35" s="57">
        <f t="shared" ref="I35:O35" si="9">I36</f>
        <v>0</v>
      </c>
      <c r="J35" s="57">
        <f t="shared" si="9"/>
        <v>0</v>
      </c>
      <c r="K35" s="57">
        <f t="shared" si="9"/>
        <v>0</v>
      </c>
      <c r="L35" s="57">
        <f t="shared" si="9"/>
        <v>0</v>
      </c>
      <c r="M35" s="57">
        <f t="shared" si="9"/>
        <v>0</v>
      </c>
      <c r="N35" s="57">
        <f t="shared" si="9"/>
        <v>0</v>
      </c>
      <c r="O35" s="57">
        <f t="shared" si="9"/>
        <v>0</v>
      </c>
      <c r="P35" s="57">
        <f t="shared" si="2"/>
        <v>20000</v>
      </c>
      <c r="Q35" s="46"/>
    </row>
    <row r="36" spans="1:17" s="40" customFormat="1" ht="15" customHeight="1" x14ac:dyDescent="0.2">
      <c r="A36" s="74" t="s">
        <v>91</v>
      </c>
      <c r="B36" s="58">
        <v>7693</v>
      </c>
      <c r="C36" s="49" t="s">
        <v>21</v>
      </c>
      <c r="D36" s="61" t="s">
        <v>59</v>
      </c>
      <c r="E36" s="57">
        <f>F36</f>
        <v>20000</v>
      </c>
      <c r="F36" s="57">
        <v>20000</v>
      </c>
      <c r="G36" s="57"/>
      <c r="H36" s="57"/>
      <c r="I36" s="57"/>
      <c r="J36" s="57">
        <f t="shared" si="3"/>
        <v>0</v>
      </c>
      <c r="K36" s="57"/>
      <c r="L36" s="57"/>
      <c r="M36" s="57"/>
      <c r="N36" s="57">
        <f>O36</f>
        <v>0</v>
      </c>
      <c r="O36" s="57"/>
      <c r="P36" s="57">
        <f t="shared" si="2"/>
        <v>20000</v>
      </c>
      <c r="Q36" s="46"/>
    </row>
    <row r="37" spans="1:17" ht="27" customHeight="1" x14ac:dyDescent="0.2">
      <c r="A37" s="80" t="s">
        <v>138</v>
      </c>
      <c r="B37" s="58"/>
      <c r="C37" s="49"/>
      <c r="D37" s="56" t="s">
        <v>110</v>
      </c>
      <c r="E37" s="57">
        <f>F37</f>
        <v>43519753</v>
      </c>
      <c r="F37" s="57">
        <f>F39+F40+F41+F44+F49+F53+F56+F61+F65+F67+F70+F59+F69</f>
        <v>43519753</v>
      </c>
      <c r="G37" s="57">
        <f>G39+G40+G41+G44+G49+G53+G56+G61+G65+G67+G70</f>
        <v>20674805</v>
      </c>
      <c r="H37" s="57">
        <f>H39+H40+H41+H44+H49+H53+H56+H61+H65+H67+H70</f>
        <v>3083221</v>
      </c>
      <c r="I37" s="57">
        <f>I39+I40+I41+I44+I49+I53+I56+I61+I65+I67</f>
        <v>0</v>
      </c>
      <c r="J37" s="57">
        <f>J39+J40+J41+J44+J49+J53+J56+J61+J65+J67+J70+J69+J59</f>
        <v>28829396</v>
      </c>
      <c r="K37" s="57">
        <f>K39+K40+K41+K44+K49+K53+K56+K61+K65+K67</f>
        <v>1628121</v>
      </c>
      <c r="L37" s="57">
        <f>L39+L40+L41+L44+L49+L53+L56+L61+L65+L67</f>
        <v>0</v>
      </c>
      <c r="M37" s="57">
        <f>M39+M40+M41+M44+M49+M53+M56+M61+M65+M67</f>
        <v>0</v>
      </c>
      <c r="N37" s="57">
        <f>N39+N40+N41+N44+N49+N53+N56+N61+N65+N67+N59+N69+N70</f>
        <v>27201275</v>
      </c>
      <c r="O37" s="57">
        <f>O39+O40+O41+O44+O49+O53+O56+O61+O65+O67+O59+O69+O70</f>
        <v>27201275</v>
      </c>
      <c r="P37" s="57">
        <f>P39+P40+P41+P44+P49+P53+P56+P61+P65+P67+P59+P69+P70</f>
        <v>72349149</v>
      </c>
      <c r="Q37" s="87"/>
    </row>
    <row r="38" spans="1:17" s="40" customFormat="1" ht="27" customHeight="1" x14ac:dyDescent="0.2">
      <c r="A38" s="74" t="s">
        <v>109</v>
      </c>
      <c r="B38" s="58"/>
      <c r="C38" s="49"/>
      <c r="D38" s="56" t="s">
        <v>110</v>
      </c>
      <c r="E38" s="215">
        <f>E37</f>
        <v>43519753</v>
      </c>
      <c r="F38" s="215">
        <f t="shared" ref="F38:P38" si="10">F37</f>
        <v>43519753</v>
      </c>
      <c r="G38" s="215">
        <f t="shared" si="10"/>
        <v>20674805</v>
      </c>
      <c r="H38" s="215">
        <f t="shared" si="10"/>
        <v>3083221</v>
      </c>
      <c r="I38" s="215">
        <f t="shared" si="10"/>
        <v>0</v>
      </c>
      <c r="J38" s="215">
        <f t="shared" si="10"/>
        <v>28829396</v>
      </c>
      <c r="K38" s="215">
        <f t="shared" si="10"/>
        <v>1628121</v>
      </c>
      <c r="L38" s="215">
        <f t="shared" si="10"/>
        <v>0</v>
      </c>
      <c r="M38" s="215">
        <f t="shared" si="10"/>
        <v>0</v>
      </c>
      <c r="N38" s="215">
        <f t="shared" si="10"/>
        <v>27201275</v>
      </c>
      <c r="O38" s="215">
        <f t="shared" si="10"/>
        <v>27201275</v>
      </c>
      <c r="P38" s="215">
        <f t="shared" si="10"/>
        <v>72349149</v>
      </c>
      <c r="Q38" s="46"/>
    </row>
    <row r="39" spans="1:17" ht="70.150000000000006" customHeight="1" x14ac:dyDescent="0.2">
      <c r="A39" s="88" t="s">
        <v>111</v>
      </c>
      <c r="B39" s="55" t="s">
        <v>43</v>
      </c>
      <c r="C39" s="55" t="s">
        <v>16</v>
      </c>
      <c r="D39" s="56" t="s">
        <v>44</v>
      </c>
      <c r="E39" s="57">
        <f>F39</f>
        <v>7744768</v>
      </c>
      <c r="F39" s="57">
        <f>7555309+74659+96800+18000</f>
        <v>7744768</v>
      </c>
      <c r="G39" s="57">
        <v>5825813</v>
      </c>
      <c r="H39" s="57">
        <f>231128+74659</f>
        <v>305787</v>
      </c>
      <c r="I39" s="57"/>
      <c r="J39" s="57">
        <f>K39+N39</f>
        <v>60000</v>
      </c>
      <c r="K39" s="57">
        <f>L39+M39</f>
        <v>0</v>
      </c>
      <c r="L39" s="57"/>
      <c r="M39" s="57"/>
      <c r="N39" s="57">
        <f>O39</f>
        <v>60000</v>
      </c>
      <c r="O39" s="57">
        <f>50000+10000</f>
        <v>60000</v>
      </c>
      <c r="P39" s="57">
        <f t="shared" ref="P39:P71" si="11">E39+J39</f>
        <v>7804768</v>
      </c>
      <c r="Q39" s="87"/>
    </row>
    <row r="40" spans="1:17" ht="32.450000000000003" customHeight="1" x14ac:dyDescent="0.2">
      <c r="A40" s="88" t="s">
        <v>133</v>
      </c>
      <c r="B40" s="55" t="s">
        <v>132</v>
      </c>
      <c r="C40" s="55" t="s">
        <v>136</v>
      </c>
      <c r="D40" s="56" t="s">
        <v>137</v>
      </c>
      <c r="E40" s="57">
        <v>18800</v>
      </c>
      <c r="F40" s="57">
        <v>18800</v>
      </c>
      <c r="G40" s="57"/>
      <c r="H40" s="57"/>
      <c r="I40" s="57"/>
      <c r="J40" s="57"/>
      <c r="K40" s="57"/>
      <c r="L40" s="57"/>
      <c r="M40" s="57"/>
      <c r="N40" s="57"/>
      <c r="O40" s="57"/>
      <c r="P40" s="57">
        <f t="shared" si="11"/>
        <v>18800</v>
      </c>
      <c r="Q40" s="87"/>
    </row>
    <row r="41" spans="1:17" s="40" customFormat="1" ht="27" customHeight="1" x14ac:dyDescent="0.2">
      <c r="A41" s="86" t="s">
        <v>112</v>
      </c>
      <c r="B41" s="55" t="s">
        <v>46</v>
      </c>
      <c r="C41" s="55"/>
      <c r="D41" s="56" t="s">
        <v>47</v>
      </c>
      <c r="E41" s="57">
        <f>E42+E43</f>
        <v>21749756</v>
      </c>
      <c r="F41" s="57">
        <f>F42+F43</f>
        <v>21749756</v>
      </c>
      <c r="G41" s="57">
        <f>G42+G43</f>
        <v>13720497</v>
      </c>
      <c r="H41" s="57">
        <f>H42+H43</f>
        <v>1624206</v>
      </c>
      <c r="I41" s="57"/>
      <c r="J41" s="57">
        <f>K41+N41</f>
        <v>8949756</v>
      </c>
      <c r="K41" s="57">
        <f>K42+K43</f>
        <v>1379521</v>
      </c>
      <c r="L41" s="57"/>
      <c r="M41" s="57"/>
      <c r="N41" s="57">
        <f>O41</f>
        <v>7570235</v>
      </c>
      <c r="O41" s="57">
        <f>O42+O43</f>
        <v>7570235</v>
      </c>
      <c r="P41" s="57">
        <f t="shared" si="11"/>
        <v>30699512</v>
      </c>
      <c r="Q41" s="46"/>
    </row>
    <row r="42" spans="1:17" s="40" customFormat="1" ht="27" customHeight="1" x14ac:dyDescent="0.2">
      <c r="A42" s="74" t="s">
        <v>113</v>
      </c>
      <c r="B42" s="58">
        <v>1010</v>
      </c>
      <c r="C42" s="49" t="s">
        <v>25</v>
      </c>
      <c r="D42" s="59" t="s">
        <v>45</v>
      </c>
      <c r="E42" s="215">
        <f>F42</f>
        <v>21727456</v>
      </c>
      <c r="F42" s="215">
        <f>20171769-74659+1271240+40000+200000+30000+15606+73500</f>
        <v>21727456</v>
      </c>
      <c r="G42" s="215">
        <v>13720497</v>
      </c>
      <c r="H42" s="215">
        <f>1608600+15606</f>
        <v>1624206</v>
      </c>
      <c r="I42" s="57"/>
      <c r="J42" s="57">
        <f>K42+N42</f>
        <v>8949756</v>
      </c>
      <c r="K42" s="57">
        <v>1379521</v>
      </c>
      <c r="L42" s="215"/>
      <c r="M42" s="215"/>
      <c r="N42" s="57">
        <f>O42</f>
        <v>7570235</v>
      </c>
      <c r="O42" s="57">
        <f>7000000+493235+77000</f>
        <v>7570235</v>
      </c>
      <c r="P42" s="57">
        <f t="shared" si="11"/>
        <v>30677212</v>
      </c>
      <c r="Q42" s="46"/>
    </row>
    <row r="43" spans="1:17" s="40" customFormat="1" ht="27" customHeight="1" x14ac:dyDescent="0.2">
      <c r="A43" s="74" t="s">
        <v>114</v>
      </c>
      <c r="B43" s="58">
        <v>1140</v>
      </c>
      <c r="C43" s="49" t="s">
        <v>48</v>
      </c>
      <c r="D43" s="59" t="s">
        <v>49</v>
      </c>
      <c r="E43" s="215">
        <f>F43</f>
        <v>22300</v>
      </c>
      <c r="F43" s="215">
        <v>22300</v>
      </c>
      <c r="G43" s="215"/>
      <c r="H43" s="215"/>
      <c r="I43" s="57"/>
      <c r="J43" s="57"/>
      <c r="K43" s="57"/>
      <c r="L43" s="215"/>
      <c r="M43" s="215"/>
      <c r="N43" s="57"/>
      <c r="O43" s="57"/>
      <c r="P43" s="57">
        <f t="shared" si="11"/>
        <v>22300</v>
      </c>
      <c r="Q43" s="46"/>
    </row>
    <row r="44" spans="1:17" s="40" customFormat="1" ht="27" customHeight="1" x14ac:dyDescent="0.2">
      <c r="A44" s="74" t="s">
        <v>115</v>
      </c>
      <c r="B44" s="60">
        <v>3000</v>
      </c>
      <c r="C44" s="49"/>
      <c r="D44" s="56" t="s">
        <v>26</v>
      </c>
      <c r="E44" s="57">
        <f>E45+E47+E48+E46</f>
        <v>688299</v>
      </c>
      <c r="F44" s="57">
        <f>F45+F47+F48+F46</f>
        <v>688299</v>
      </c>
      <c r="G44" s="57">
        <f>G45+G47+G48+G46</f>
        <v>93893</v>
      </c>
      <c r="H44" s="57">
        <f>H45+H47+H48</f>
        <v>0</v>
      </c>
      <c r="I44" s="57">
        <f>I45+I47+I48</f>
        <v>0</v>
      </c>
      <c r="J44" s="57">
        <f>J45+J47+J48+J46</f>
        <v>0</v>
      </c>
      <c r="K44" s="57">
        <f>K45+K47+K48+K46</f>
        <v>0</v>
      </c>
      <c r="L44" s="57">
        <f>L45+L47+L48+L46</f>
        <v>0</v>
      </c>
      <c r="M44" s="57">
        <f>M45+M47+M48+M46</f>
        <v>0</v>
      </c>
      <c r="N44" s="57">
        <f>N45+N47+N48+N46</f>
        <v>0</v>
      </c>
      <c r="O44" s="57">
        <f>O45+O47+O48</f>
        <v>0</v>
      </c>
      <c r="P44" s="57">
        <f t="shared" si="11"/>
        <v>688299</v>
      </c>
      <c r="Q44" s="46"/>
    </row>
    <row r="45" spans="1:17" s="40" customFormat="1" ht="27" customHeight="1" x14ac:dyDescent="0.2">
      <c r="A45" s="74" t="s">
        <v>134</v>
      </c>
      <c r="B45" s="58">
        <v>3090</v>
      </c>
      <c r="C45" s="49" t="s">
        <v>135</v>
      </c>
      <c r="D45" s="61" t="s">
        <v>148</v>
      </c>
      <c r="E45" s="215">
        <f>F45</f>
        <v>40000</v>
      </c>
      <c r="F45" s="215">
        <v>40000</v>
      </c>
      <c r="G45" s="57"/>
      <c r="H45" s="57"/>
      <c r="I45" s="57"/>
      <c r="J45" s="57"/>
      <c r="K45" s="57"/>
      <c r="L45" s="57"/>
      <c r="M45" s="57"/>
      <c r="N45" s="57"/>
      <c r="O45" s="57"/>
      <c r="P45" s="57">
        <f t="shared" si="11"/>
        <v>40000</v>
      </c>
      <c r="Q45" s="46"/>
    </row>
    <row r="46" spans="1:17" s="40" customFormat="1" ht="60.6" customHeight="1" x14ac:dyDescent="0.2">
      <c r="A46" s="74" t="s">
        <v>161</v>
      </c>
      <c r="B46" s="58">
        <v>3140</v>
      </c>
      <c r="C46" s="49" t="s">
        <v>162</v>
      </c>
      <c r="D46" s="61" t="s">
        <v>163</v>
      </c>
      <c r="E46" s="215">
        <f>F46</f>
        <v>205000</v>
      </c>
      <c r="F46" s="215">
        <v>205000</v>
      </c>
      <c r="G46" s="57"/>
      <c r="H46" s="57"/>
      <c r="I46" s="57"/>
      <c r="J46" s="57"/>
      <c r="K46" s="57"/>
      <c r="L46" s="57"/>
      <c r="M46" s="57"/>
      <c r="N46" s="57"/>
      <c r="O46" s="57"/>
      <c r="P46" s="57">
        <f t="shared" si="11"/>
        <v>205000</v>
      </c>
      <c r="Q46" s="46"/>
    </row>
    <row r="47" spans="1:17" s="40" customFormat="1" ht="27" customHeight="1" x14ac:dyDescent="0.2">
      <c r="A47" s="74" t="s">
        <v>116</v>
      </c>
      <c r="B47" s="58">
        <v>3210</v>
      </c>
      <c r="C47" s="49" t="s">
        <v>41</v>
      </c>
      <c r="D47" s="61" t="s">
        <v>42</v>
      </c>
      <c r="E47" s="215">
        <f>F47</f>
        <v>114550</v>
      </c>
      <c r="F47" s="215">
        <f>229099-93893-20656</f>
        <v>114550</v>
      </c>
      <c r="G47" s="215">
        <f>187785-93892</f>
        <v>93893</v>
      </c>
      <c r="H47" s="215"/>
      <c r="I47" s="57"/>
      <c r="J47" s="57"/>
      <c r="K47" s="57"/>
      <c r="L47" s="215"/>
      <c r="M47" s="215"/>
      <c r="N47" s="57"/>
      <c r="O47" s="215"/>
      <c r="P47" s="57">
        <f t="shared" si="11"/>
        <v>114550</v>
      </c>
      <c r="Q47" s="46"/>
    </row>
    <row r="48" spans="1:17" s="40" customFormat="1" ht="27" customHeight="1" x14ac:dyDescent="0.2">
      <c r="A48" s="74" t="s">
        <v>117</v>
      </c>
      <c r="B48" s="58">
        <v>3242</v>
      </c>
      <c r="C48" s="49" t="s">
        <v>27</v>
      </c>
      <c r="D48" s="61" t="s">
        <v>62</v>
      </c>
      <c r="E48" s="215">
        <f>F48</f>
        <v>328749</v>
      </c>
      <c r="F48" s="215">
        <f>180000+114549-40000-18800+30000+63000</f>
        <v>328749</v>
      </c>
      <c r="G48" s="57"/>
      <c r="H48" s="57"/>
      <c r="I48" s="57"/>
      <c r="J48" s="57">
        <f>K48+N48</f>
        <v>0</v>
      </c>
      <c r="K48" s="57">
        <f>L48+M48</f>
        <v>0</v>
      </c>
      <c r="L48" s="57"/>
      <c r="M48" s="57"/>
      <c r="N48" s="57">
        <f>O48</f>
        <v>0</v>
      </c>
      <c r="O48" s="57"/>
      <c r="P48" s="57">
        <f t="shared" si="11"/>
        <v>328749</v>
      </c>
      <c r="Q48" s="46"/>
    </row>
    <row r="49" spans="1:17" s="40" customFormat="1" ht="27" customHeight="1" x14ac:dyDescent="0.2">
      <c r="A49" s="74" t="s">
        <v>118</v>
      </c>
      <c r="B49" s="60">
        <v>4000</v>
      </c>
      <c r="C49" s="55"/>
      <c r="D49" s="56" t="s">
        <v>28</v>
      </c>
      <c r="E49" s="57">
        <f>E50+E51+E52</f>
        <v>2120215</v>
      </c>
      <c r="F49" s="57">
        <f>F50+F51+F52</f>
        <v>2120215</v>
      </c>
      <c r="G49" s="57">
        <f>G50+G51+G52</f>
        <v>875286</v>
      </c>
      <c r="H49" s="57">
        <f>H50+H51+H52</f>
        <v>68305</v>
      </c>
      <c r="I49" s="57"/>
      <c r="J49" s="57">
        <f>J50+J51+J52</f>
        <v>30200</v>
      </c>
      <c r="K49" s="57">
        <f>K50+K52</f>
        <v>30200</v>
      </c>
      <c r="L49" s="57">
        <f>L50+L52</f>
        <v>0</v>
      </c>
      <c r="M49" s="57">
        <f>M50+M52</f>
        <v>0</v>
      </c>
      <c r="N49" s="57">
        <f>N50+N52</f>
        <v>0</v>
      </c>
      <c r="O49" s="57">
        <f>O50+O52</f>
        <v>0</v>
      </c>
      <c r="P49" s="57">
        <f t="shared" si="11"/>
        <v>2150415</v>
      </c>
      <c r="Q49" s="46"/>
    </row>
    <row r="50" spans="1:17" s="40" customFormat="1" ht="27" customHeight="1" x14ac:dyDescent="0.2">
      <c r="A50" s="74" t="s">
        <v>119</v>
      </c>
      <c r="B50" s="58">
        <v>4060</v>
      </c>
      <c r="C50" s="49" t="s">
        <v>29</v>
      </c>
      <c r="D50" s="62" t="s">
        <v>60</v>
      </c>
      <c r="E50" s="215">
        <f>F50</f>
        <v>1384197</v>
      </c>
      <c r="F50" s="215">
        <f>1297697+2000+66000+10000+8500</f>
        <v>1384197</v>
      </c>
      <c r="G50" s="215">
        <v>814643</v>
      </c>
      <c r="H50" s="215">
        <v>58108</v>
      </c>
      <c r="I50" s="57"/>
      <c r="J50" s="57">
        <f>K50+N50</f>
        <v>30200</v>
      </c>
      <c r="K50" s="57">
        <v>30200</v>
      </c>
      <c r="L50" s="57"/>
      <c r="M50" s="57"/>
      <c r="N50" s="57">
        <f>O50</f>
        <v>0</v>
      </c>
      <c r="O50" s="57"/>
      <c r="P50" s="57">
        <f t="shared" si="11"/>
        <v>1414397</v>
      </c>
      <c r="Q50" s="46"/>
    </row>
    <row r="51" spans="1:17" s="40" customFormat="1" ht="27" customHeight="1" x14ac:dyDescent="0.2">
      <c r="A51" s="74" t="s">
        <v>120</v>
      </c>
      <c r="B51" s="58">
        <v>4081</v>
      </c>
      <c r="C51" s="49" t="s">
        <v>50</v>
      </c>
      <c r="D51" s="62" t="s">
        <v>63</v>
      </c>
      <c r="E51" s="215">
        <f>F51</f>
        <v>91518</v>
      </c>
      <c r="F51" s="215">
        <v>91518</v>
      </c>
      <c r="G51" s="215">
        <v>60643</v>
      </c>
      <c r="H51" s="215">
        <v>10197</v>
      </c>
      <c r="I51" s="57"/>
      <c r="J51" s="57"/>
      <c r="K51" s="57"/>
      <c r="L51" s="57"/>
      <c r="M51" s="57"/>
      <c r="N51" s="57"/>
      <c r="O51" s="57"/>
      <c r="P51" s="57">
        <f t="shared" si="11"/>
        <v>91518</v>
      </c>
      <c r="Q51" s="46"/>
    </row>
    <row r="52" spans="1:17" s="40" customFormat="1" ht="27" customHeight="1" x14ac:dyDescent="0.2">
      <c r="A52" s="74" t="s">
        <v>121</v>
      </c>
      <c r="B52" s="58">
        <v>4082</v>
      </c>
      <c r="C52" s="49" t="s">
        <v>50</v>
      </c>
      <c r="D52" s="62" t="s">
        <v>64</v>
      </c>
      <c r="E52" s="215">
        <f>F52</f>
        <v>644500</v>
      </c>
      <c r="F52" s="215">
        <f>641500+3000</f>
        <v>644500</v>
      </c>
      <c r="G52" s="215"/>
      <c r="H52" s="215"/>
      <c r="I52" s="57"/>
      <c r="J52" s="57">
        <f>K52+N52</f>
        <v>0</v>
      </c>
      <c r="K52" s="57"/>
      <c r="L52" s="57"/>
      <c r="M52" s="57"/>
      <c r="N52" s="57">
        <f>O52</f>
        <v>0</v>
      </c>
      <c r="O52" s="57"/>
      <c r="P52" s="57">
        <f t="shared" si="11"/>
        <v>644500</v>
      </c>
      <c r="Q52" s="46"/>
    </row>
    <row r="53" spans="1:17" s="40" customFormat="1" ht="27" customHeight="1" x14ac:dyDescent="0.2">
      <c r="A53" s="74" t="s">
        <v>122</v>
      </c>
      <c r="B53" s="60">
        <v>5000</v>
      </c>
      <c r="C53" s="49"/>
      <c r="D53" s="56" t="s">
        <v>30</v>
      </c>
      <c r="E53" s="57">
        <f>E54+E55</f>
        <v>365000</v>
      </c>
      <c r="F53" s="57">
        <f>F54+F55</f>
        <v>365000</v>
      </c>
      <c r="G53" s="57">
        <f t="shared" ref="G53:O53" si="12">G54+G55</f>
        <v>159316</v>
      </c>
      <c r="H53" s="57">
        <f t="shared" si="12"/>
        <v>29994</v>
      </c>
      <c r="I53" s="57">
        <f t="shared" si="12"/>
        <v>0</v>
      </c>
      <c r="J53" s="57">
        <f t="shared" si="12"/>
        <v>0</v>
      </c>
      <c r="K53" s="57">
        <f t="shared" si="12"/>
        <v>0</v>
      </c>
      <c r="L53" s="57">
        <f t="shared" si="12"/>
        <v>0</v>
      </c>
      <c r="M53" s="57">
        <f t="shared" si="12"/>
        <v>0</v>
      </c>
      <c r="N53" s="57">
        <f t="shared" si="12"/>
        <v>0</v>
      </c>
      <c r="O53" s="57">
        <f t="shared" si="12"/>
        <v>0</v>
      </c>
      <c r="P53" s="57">
        <f t="shared" si="11"/>
        <v>365000</v>
      </c>
      <c r="Q53" s="46"/>
    </row>
    <row r="54" spans="1:17" ht="39" customHeight="1" x14ac:dyDescent="0.2">
      <c r="A54" s="80" t="s">
        <v>123</v>
      </c>
      <c r="B54" s="58">
        <v>5061</v>
      </c>
      <c r="C54" s="49" t="s">
        <v>31</v>
      </c>
      <c r="D54" s="62" t="s">
        <v>40</v>
      </c>
      <c r="E54" s="215">
        <f>F54</f>
        <v>315000</v>
      </c>
      <c r="F54" s="215">
        <f>311000+4000</f>
        <v>315000</v>
      </c>
      <c r="G54" s="215">
        <v>159316</v>
      </c>
      <c r="H54" s="215">
        <f>25994+4000</f>
        <v>29994</v>
      </c>
      <c r="I54" s="57"/>
      <c r="J54" s="57">
        <f>K54+N54</f>
        <v>0</v>
      </c>
      <c r="K54" s="57">
        <f>L54+M54</f>
        <v>0</v>
      </c>
      <c r="L54" s="57"/>
      <c r="M54" s="57"/>
      <c r="N54" s="57">
        <f>O54</f>
        <v>0</v>
      </c>
      <c r="O54" s="57"/>
      <c r="P54" s="57">
        <f t="shared" si="11"/>
        <v>315000</v>
      </c>
      <c r="Q54" s="87"/>
    </row>
    <row r="55" spans="1:17" ht="31.9" customHeight="1" x14ac:dyDescent="0.2">
      <c r="A55" s="80" t="s">
        <v>286</v>
      </c>
      <c r="B55" s="58">
        <v>5062</v>
      </c>
      <c r="C55" s="49" t="s">
        <v>31</v>
      </c>
      <c r="D55" s="62" t="s">
        <v>287</v>
      </c>
      <c r="E55" s="215">
        <f>F55</f>
        <v>50000</v>
      </c>
      <c r="F55" s="215">
        <v>50000</v>
      </c>
      <c r="G55" s="215"/>
      <c r="H55" s="215"/>
      <c r="I55" s="57"/>
      <c r="J55" s="57"/>
      <c r="K55" s="57"/>
      <c r="L55" s="57"/>
      <c r="M55" s="57"/>
      <c r="N55" s="57"/>
      <c r="O55" s="57"/>
      <c r="P55" s="57">
        <f t="shared" si="11"/>
        <v>50000</v>
      </c>
      <c r="Q55" s="87"/>
    </row>
    <row r="56" spans="1:17" s="40" customFormat="1" ht="27" customHeight="1" x14ac:dyDescent="0.2">
      <c r="A56" s="74" t="s">
        <v>124</v>
      </c>
      <c r="B56" s="60">
        <v>6000</v>
      </c>
      <c r="C56" s="49"/>
      <c r="D56" s="56" t="s">
        <v>32</v>
      </c>
      <c r="E56" s="57">
        <f>E57+E58</f>
        <v>10139719</v>
      </c>
      <c r="F56" s="57">
        <f>F57+F58</f>
        <v>10139719</v>
      </c>
      <c r="G56" s="57">
        <f>G57+G58</f>
        <v>0</v>
      </c>
      <c r="H56" s="57">
        <f>H57+H58</f>
        <v>1054929</v>
      </c>
      <c r="I56" s="57"/>
      <c r="J56" s="57">
        <f>K56+N56</f>
        <v>10166000</v>
      </c>
      <c r="K56" s="57">
        <f>K57+K58</f>
        <v>0</v>
      </c>
      <c r="L56" s="57">
        <f>L57+L58</f>
        <v>0</v>
      </c>
      <c r="M56" s="57">
        <f>M57+M58</f>
        <v>0</v>
      </c>
      <c r="N56" s="57">
        <f>N57+N58</f>
        <v>10166000</v>
      </c>
      <c r="O56" s="57">
        <f>O57+O58</f>
        <v>10166000</v>
      </c>
      <c r="P56" s="57">
        <f t="shared" si="11"/>
        <v>20305719</v>
      </c>
      <c r="Q56" s="46"/>
    </row>
    <row r="57" spans="1:17" s="40" customFormat="1" ht="27" customHeight="1" x14ac:dyDescent="0.2">
      <c r="A57" s="74" t="s">
        <v>125</v>
      </c>
      <c r="B57" s="58">
        <v>6011</v>
      </c>
      <c r="C57" s="49" t="s">
        <v>33</v>
      </c>
      <c r="D57" s="62" t="s">
        <v>54</v>
      </c>
      <c r="E57" s="215">
        <f>F57</f>
        <v>0</v>
      </c>
      <c r="F57" s="215"/>
      <c r="G57" s="215"/>
      <c r="H57" s="215"/>
      <c r="I57" s="57"/>
      <c r="J57" s="57">
        <f>K57+N57</f>
        <v>2170000</v>
      </c>
      <c r="K57" s="57">
        <f>L57+M57</f>
        <v>0</v>
      </c>
      <c r="L57" s="57"/>
      <c r="M57" s="57"/>
      <c r="N57" s="57">
        <f>O57</f>
        <v>2170000</v>
      </c>
      <c r="O57" s="215">
        <f>670000+500000+1000000</f>
        <v>2170000</v>
      </c>
      <c r="P57" s="57">
        <f t="shared" si="11"/>
        <v>2170000</v>
      </c>
      <c r="Q57" s="46"/>
    </row>
    <row r="58" spans="1:17" s="40" customFormat="1" ht="27" customHeight="1" x14ac:dyDescent="0.2">
      <c r="A58" s="74" t="s">
        <v>126</v>
      </c>
      <c r="B58" s="58">
        <v>6030</v>
      </c>
      <c r="C58" s="49" t="s">
        <v>33</v>
      </c>
      <c r="D58" s="61" t="s">
        <v>51</v>
      </c>
      <c r="E58" s="215">
        <f>F58</f>
        <v>10139719</v>
      </c>
      <c r="F58" s="215">
        <f>8185719+706000+198000+94000+956000</f>
        <v>10139719</v>
      </c>
      <c r="G58" s="215"/>
      <c r="H58" s="215">
        <v>1054929</v>
      </c>
      <c r="I58" s="57"/>
      <c r="J58" s="57">
        <f>K58+N58</f>
        <v>7996000</v>
      </c>
      <c r="K58" s="57">
        <f>L58+M58</f>
        <v>0</v>
      </c>
      <c r="L58" s="57"/>
      <c r="M58" s="57"/>
      <c r="N58" s="57">
        <f>O58</f>
        <v>7996000</v>
      </c>
      <c r="O58" s="215">
        <f>3800000+296000+2100000+528500-528500+1500000+300000</f>
        <v>7996000</v>
      </c>
      <c r="P58" s="57">
        <f t="shared" si="11"/>
        <v>18135719</v>
      </c>
      <c r="Q58" s="46"/>
    </row>
    <row r="59" spans="1:17" s="40" customFormat="1" ht="27" customHeight="1" x14ac:dyDescent="0.2">
      <c r="A59" s="74" t="s">
        <v>165</v>
      </c>
      <c r="B59" s="60">
        <v>7100</v>
      </c>
      <c r="C59" s="49"/>
      <c r="D59" s="56" t="s">
        <v>65</v>
      </c>
      <c r="E59" s="215">
        <f>E60</f>
        <v>255196</v>
      </c>
      <c r="F59" s="57">
        <f>F60</f>
        <v>255196</v>
      </c>
      <c r="G59" s="215"/>
      <c r="H59" s="215"/>
      <c r="I59" s="57"/>
      <c r="J59" s="57">
        <f>J60</f>
        <v>0</v>
      </c>
      <c r="K59" s="57"/>
      <c r="L59" s="57"/>
      <c r="M59" s="57"/>
      <c r="N59" s="57"/>
      <c r="O59" s="215"/>
      <c r="P59" s="57">
        <f t="shared" si="11"/>
        <v>255196</v>
      </c>
      <c r="Q59" s="46"/>
    </row>
    <row r="60" spans="1:17" s="40" customFormat="1" ht="27" customHeight="1" x14ac:dyDescent="0.2">
      <c r="A60" s="74" t="s">
        <v>164</v>
      </c>
      <c r="B60" s="58">
        <v>7130</v>
      </c>
      <c r="C60" s="49" t="s">
        <v>66</v>
      </c>
      <c r="D60" s="61" t="s">
        <v>67</v>
      </c>
      <c r="E60" s="215">
        <f>F60</f>
        <v>255196</v>
      </c>
      <c r="F60" s="215">
        <v>255196</v>
      </c>
      <c r="G60" s="215"/>
      <c r="H60" s="215"/>
      <c r="I60" s="57"/>
      <c r="J60" s="57">
        <f>K60+N60</f>
        <v>0</v>
      </c>
      <c r="K60" s="57">
        <f>L60+M60</f>
        <v>0</v>
      </c>
      <c r="L60" s="57"/>
      <c r="M60" s="57"/>
      <c r="N60" s="57">
        <f>O60</f>
        <v>0</v>
      </c>
      <c r="O60" s="215"/>
      <c r="P60" s="57">
        <f t="shared" si="11"/>
        <v>255196</v>
      </c>
      <c r="Q60" s="46"/>
    </row>
    <row r="61" spans="1:17" s="40" customFormat="1" ht="27" customHeight="1" x14ac:dyDescent="0.2">
      <c r="A61" s="74" t="s">
        <v>127</v>
      </c>
      <c r="B61" s="60">
        <v>7300</v>
      </c>
      <c r="C61" s="49"/>
      <c r="D61" s="56" t="s">
        <v>52</v>
      </c>
      <c r="E61" s="57">
        <f t="shared" ref="E61:O61" si="13">E62+E63+E64</f>
        <v>20000</v>
      </c>
      <c r="F61" s="57">
        <f t="shared" si="13"/>
        <v>20000</v>
      </c>
      <c r="G61" s="57">
        <f t="shared" si="13"/>
        <v>0</v>
      </c>
      <c r="H61" s="57">
        <f t="shared" si="13"/>
        <v>0</v>
      </c>
      <c r="I61" s="57">
        <f t="shared" si="13"/>
        <v>0</v>
      </c>
      <c r="J61" s="57">
        <f t="shared" si="13"/>
        <v>6010000</v>
      </c>
      <c r="K61" s="57">
        <f t="shared" si="13"/>
        <v>0</v>
      </c>
      <c r="L61" s="57">
        <f t="shared" si="13"/>
        <v>0</v>
      </c>
      <c r="M61" s="57">
        <f t="shared" si="13"/>
        <v>0</v>
      </c>
      <c r="N61" s="57">
        <f t="shared" si="13"/>
        <v>6010000</v>
      </c>
      <c r="O61" s="57">
        <f t="shared" si="13"/>
        <v>6010000</v>
      </c>
      <c r="P61" s="57">
        <f t="shared" si="11"/>
        <v>6030000</v>
      </c>
      <c r="Q61" s="46"/>
    </row>
    <row r="62" spans="1:17" s="40" customFormat="1" ht="27" customHeight="1" x14ac:dyDescent="0.2">
      <c r="A62" s="74" t="s">
        <v>128</v>
      </c>
      <c r="B62" s="58">
        <v>7310</v>
      </c>
      <c r="C62" s="49" t="s">
        <v>55</v>
      </c>
      <c r="D62" s="61" t="s">
        <v>56</v>
      </c>
      <c r="E62" s="57">
        <f>F62</f>
        <v>0</v>
      </c>
      <c r="F62" s="57"/>
      <c r="G62" s="57"/>
      <c r="H62" s="57"/>
      <c r="I62" s="57"/>
      <c r="J62" s="57">
        <f>K62+N62</f>
        <v>4800000</v>
      </c>
      <c r="K62" s="57">
        <f>L62+M62</f>
        <v>0</v>
      </c>
      <c r="L62" s="57"/>
      <c r="M62" s="57"/>
      <c r="N62" s="57">
        <f>O62</f>
        <v>4800000</v>
      </c>
      <c r="O62" s="215">
        <f>1500000+350000+1250000+1500000+200000</f>
        <v>4800000</v>
      </c>
      <c r="P62" s="57">
        <f t="shared" si="11"/>
        <v>4800000</v>
      </c>
      <c r="Q62" s="46"/>
    </row>
    <row r="63" spans="1:17" s="40" customFormat="1" ht="27" customHeight="1" x14ac:dyDescent="0.2">
      <c r="A63" s="74" t="s">
        <v>129</v>
      </c>
      <c r="B63" s="58">
        <v>7330</v>
      </c>
      <c r="C63" s="49" t="s">
        <v>55</v>
      </c>
      <c r="D63" s="61" t="s">
        <v>61</v>
      </c>
      <c r="E63" s="57">
        <f>F63</f>
        <v>0</v>
      </c>
      <c r="F63" s="57"/>
      <c r="G63" s="57"/>
      <c r="H63" s="57"/>
      <c r="I63" s="57"/>
      <c r="J63" s="57">
        <f>K63+N63</f>
        <v>1210000</v>
      </c>
      <c r="K63" s="57"/>
      <c r="L63" s="57"/>
      <c r="M63" s="57"/>
      <c r="N63" s="57">
        <f>O63</f>
        <v>1210000</v>
      </c>
      <c r="O63" s="215">
        <f>260000+400000+550000</f>
        <v>1210000</v>
      </c>
      <c r="P63" s="57">
        <f t="shared" si="11"/>
        <v>1210000</v>
      </c>
      <c r="Q63" s="46"/>
    </row>
    <row r="64" spans="1:17" s="40" customFormat="1" ht="27" customHeight="1" x14ac:dyDescent="0.2">
      <c r="A64" s="74" t="s">
        <v>166</v>
      </c>
      <c r="B64" s="58">
        <v>7350</v>
      </c>
      <c r="C64" s="49" t="s">
        <v>55</v>
      </c>
      <c r="D64" s="61" t="s">
        <v>68</v>
      </c>
      <c r="E64" s="215">
        <f>F64</f>
        <v>20000</v>
      </c>
      <c r="F64" s="215">
        <v>20000</v>
      </c>
      <c r="G64" s="57"/>
      <c r="H64" s="57"/>
      <c r="I64" s="57"/>
      <c r="J64" s="57">
        <f>K64+N64</f>
        <v>0</v>
      </c>
      <c r="K64" s="57"/>
      <c r="L64" s="57"/>
      <c r="M64" s="57"/>
      <c r="N64" s="57">
        <f>O64</f>
        <v>0</v>
      </c>
      <c r="O64" s="215"/>
      <c r="P64" s="57">
        <f t="shared" si="11"/>
        <v>20000</v>
      </c>
      <c r="Q64" s="46"/>
    </row>
    <row r="65" spans="1:17" s="40" customFormat="1" ht="27" customHeight="1" x14ac:dyDescent="0.2">
      <c r="A65" s="74" t="s">
        <v>143</v>
      </c>
      <c r="B65" s="60">
        <v>7600</v>
      </c>
      <c r="C65" s="49"/>
      <c r="D65" s="56" t="s">
        <v>53</v>
      </c>
      <c r="E65" s="57">
        <f>E66</f>
        <v>20000</v>
      </c>
      <c r="F65" s="57">
        <f t="shared" ref="F65:O65" si="14">F66</f>
        <v>20000</v>
      </c>
      <c r="G65" s="57">
        <f t="shared" si="14"/>
        <v>0</v>
      </c>
      <c r="H65" s="57">
        <f t="shared" si="14"/>
        <v>0</v>
      </c>
      <c r="I65" s="57">
        <f t="shared" si="14"/>
        <v>0</v>
      </c>
      <c r="J65" s="57">
        <f t="shared" si="14"/>
        <v>0</v>
      </c>
      <c r="K65" s="57">
        <f t="shared" si="14"/>
        <v>0</v>
      </c>
      <c r="L65" s="57">
        <f t="shared" si="14"/>
        <v>0</v>
      </c>
      <c r="M65" s="57">
        <f t="shared" si="14"/>
        <v>0</v>
      </c>
      <c r="N65" s="57">
        <f t="shared" si="14"/>
        <v>0</v>
      </c>
      <c r="O65" s="57">
        <f t="shared" si="14"/>
        <v>0</v>
      </c>
      <c r="P65" s="57">
        <f t="shared" si="11"/>
        <v>20000</v>
      </c>
      <c r="Q65" s="46"/>
    </row>
    <row r="66" spans="1:17" s="40" customFormat="1" ht="27" customHeight="1" x14ac:dyDescent="0.2">
      <c r="A66" s="74" t="s">
        <v>142</v>
      </c>
      <c r="B66" s="58">
        <v>7693</v>
      </c>
      <c r="C66" s="49" t="s">
        <v>21</v>
      </c>
      <c r="D66" s="61" t="s">
        <v>59</v>
      </c>
      <c r="E66" s="57">
        <f>F66</f>
        <v>20000</v>
      </c>
      <c r="F66" s="57">
        <v>20000</v>
      </c>
      <c r="G66" s="57"/>
      <c r="H66" s="57"/>
      <c r="I66" s="57"/>
      <c r="J66" s="57">
        <f>K66+N66</f>
        <v>0</v>
      </c>
      <c r="K66" s="57"/>
      <c r="L66" s="57"/>
      <c r="M66" s="57"/>
      <c r="N66" s="57">
        <f>O66</f>
        <v>0</v>
      </c>
      <c r="O66" s="57"/>
      <c r="P66" s="57">
        <f t="shared" si="11"/>
        <v>20000</v>
      </c>
      <c r="Q66" s="46"/>
    </row>
    <row r="67" spans="1:17" s="40" customFormat="1" ht="27" customHeight="1" x14ac:dyDescent="0.2">
      <c r="A67" s="74" t="s">
        <v>141</v>
      </c>
      <c r="B67" s="60">
        <v>8300</v>
      </c>
      <c r="C67" s="49"/>
      <c r="D67" s="56" t="s">
        <v>57</v>
      </c>
      <c r="E67" s="57">
        <f>E68</f>
        <v>0</v>
      </c>
      <c r="F67" s="57">
        <f>F68</f>
        <v>0</v>
      </c>
      <c r="G67" s="57">
        <f>G68</f>
        <v>0</v>
      </c>
      <c r="H67" s="57">
        <f>H68</f>
        <v>0</v>
      </c>
      <c r="I67" s="57"/>
      <c r="J67" s="57">
        <f t="shared" ref="J67:O67" si="15">J68</f>
        <v>218400</v>
      </c>
      <c r="K67" s="57">
        <f t="shared" si="15"/>
        <v>218400</v>
      </c>
      <c r="L67" s="57">
        <f t="shared" si="15"/>
        <v>0</v>
      </c>
      <c r="M67" s="57">
        <f t="shared" si="15"/>
        <v>0</v>
      </c>
      <c r="N67" s="57">
        <f t="shared" si="15"/>
        <v>0</v>
      </c>
      <c r="O67" s="57">
        <f t="shared" si="15"/>
        <v>0</v>
      </c>
      <c r="P67" s="57">
        <f t="shared" si="11"/>
        <v>218400</v>
      </c>
      <c r="Q67" s="46"/>
    </row>
    <row r="68" spans="1:17" s="40" customFormat="1" ht="27" customHeight="1" x14ac:dyDescent="0.2">
      <c r="A68" s="74" t="s">
        <v>140</v>
      </c>
      <c r="B68" s="58">
        <v>8330</v>
      </c>
      <c r="C68" s="49" t="s">
        <v>58</v>
      </c>
      <c r="D68" s="61" t="s">
        <v>92</v>
      </c>
      <c r="E68" s="215"/>
      <c r="F68" s="215"/>
      <c r="G68" s="57"/>
      <c r="H68" s="57"/>
      <c r="I68" s="57"/>
      <c r="J68" s="57">
        <f>K68+N68</f>
        <v>218400</v>
      </c>
      <c r="K68" s="215">
        <v>218400</v>
      </c>
      <c r="L68" s="57"/>
      <c r="M68" s="57"/>
      <c r="N68" s="57">
        <f>O68</f>
        <v>0</v>
      </c>
      <c r="O68" s="215"/>
      <c r="P68" s="57">
        <f t="shared" si="11"/>
        <v>218400</v>
      </c>
      <c r="Q68" s="46"/>
    </row>
    <row r="69" spans="1:17" s="40" customFormat="1" ht="27" customHeight="1" x14ac:dyDescent="0.2">
      <c r="A69" s="74" t="s">
        <v>167</v>
      </c>
      <c r="B69" s="58">
        <v>9770</v>
      </c>
      <c r="C69" s="49" t="s">
        <v>132</v>
      </c>
      <c r="D69" s="61" t="s">
        <v>168</v>
      </c>
      <c r="E69" s="57">
        <f>F69</f>
        <v>0</v>
      </c>
      <c r="F69" s="215"/>
      <c r="G69" s="57"/>
      <c r="H69" s="57"/>
      <c r="I69" s="57"/>
      <c r="J69" s="57">
        <f>K69+N69</f>
        <v>3273040</v>
      </c>
      <c r="K69" s="215"/>
      <c r="L69" s="57"/>
      <c r="M69" s="57"/>
      <c r="N69" s="57">
        <f>O69</f>
        <v>3273040</v>
      </c>
      <c r="O69" s="215">
        <f>2000000+1273040</f>
        <v>3273040</v>
      </c>
      <c r="P69" s="57">
        <f t="shared" si="11"/>
        <v>3273040</v>
      </c>
      <c r="Q69" s="46"/>
    </row>
    <row r="70" spans="1:17" s="40" customFormat="1" ht="39.6" customHeight="1" x14ac:dyDescent="0.2">
      <c r="A70" s="74" t="s">
        <v>152</v>
      </c>
      <c r="B70" s="58">
        <v>9800</v>
      </c>
      <c r="C70" s="49" t="s">
        <v>132</v>
      </c>
      <c r="D70" s="61" t="s">
        <v>153</v>
      </c>
      <c r="E70" s="57">
        <f>F70</f>
        <v>398000</v>
      </c>
      <c r="F70" s="215">
        <f>298000+100000</f>
        <v>398000</v>
      </c>
      <c r="G70" s="57"/>
      <c r="H70" s="57"/>
      <c r="I70" s="57"/>
      <c r="J70" s="57">
        <f>K70+N70</f>
        <v>122000</v>
      </c>
      <c r="K70" s="215"/>
      <c r="L70" s="57"/>
      <c r="M70" s="57"/>
      <c r="N70" s="57">
        <f>O70</f>
        <v>122000</v>
      </c>
      <c r="O70" s="215">
        <f>62000+60000</f>
        <v>122000</v>
      </c>
      <c r="P70" s="57">
        <f t="shared" si="11"/>
        <v>520000</v>
      </c>
      <c r="Q70" s="46"/>
    </row>
    <row r="71" spans="1:17" s="40" customFormat="1" ht="37.9" customHeight="1" x14ac:dyDescent="0.2">
      <c r="A71" s="75"/>
      <c r="B71" s="58"/>
      <c r="C71" s="49"/>
      <c r="D71" s="63" t="s">
        <v>19</v>
      </c>
      <c r="E71" s="64">
        <f t="shared" ref="E71:O71" si="16">E14+E37</f>
        <v>60066583</v>
      </c>
      <c r="F71" s="64">
        <f t="shared" si="16"/>
        <v>60066583</v>
      </c>
      <c r="G71" s="64">
        <f t="shared" si="16"/>
        <v>27795848</v>
      </c>
      <c r="H71" s="64">
        <f t="shared" si="16"/>
        <v>5503177</v>
      </c>
      <c r="I71" s="64">
        <f t="shared" si="16"/>
        <v>0</v>
      </c>
      <c r="J71" s="64">
        <f t="shared" si="16"/>
        <v>29207984</v>
      </c>
      <c r="K71" s="64">
        <f t="shared" si="16"/>
        <v>2006709</v>
      </c>
      <c r="L71" s="64">
        <f t="shared" si="16"/>
        <v>0</v>
      </c>
      <c r="M71" s="64">
        <f t="shared" si="16"/>
        <v>0</v>
      </c>
      <c r="N71" s="64">
        <f t="shared" si="16"/>
        <v>27201275</v>
      </c>
      <c r="O71" s="64">
        <f t="shared" si="16"/>
        <v>27201275</v>
      </c>
      <c r="P71" s="57">
        <f t="shared" si="11"/>
        <v>89274567</v>
      </c>
      <c r="Q71" s="46"/>
    </row>
    <row r="72" spans="1:17" s="40" customFormat="1" ht="23.25" customHeight="1" x14ac:dyDescent="0.2">
      <c r="A72" s="39"/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</row>
    <row r="73" spans="1:17" s="40" customFormat="1" ht="42.6" customHeight="1" x14ac:dyDescent="0.2">
      <c r="A73" s="39"/>
      <c r="B73" s="242" t="s">
        <v>145</v>
      </c>
      <c r="C73" s="242"/>
      <c r="D73" s="242"/>
      <c r="E73" s="90"/>
      <c r="F73" s="90"/>
      <c r="G73" s="90"/>
      <c r="H73" s="90"/>
      <c r="I73" s="90"/>
      <c r="J73" s="90"/>
      <c r="K73" s="226" t="s">
        <v>196</v>
      </c>
      <c r="L73" s="226"/>
      <c r="M73" s="226"/>
      <c r="N73" s="226"/>
      <c r="O73" s="90"/>
      <c r="P73" s="90"/>
      <c r="Q73" s="90"/>
    </row>
    <row r="74" spans="1:17" s="40" customFormat="1" ht="27.75" customHeight="1" x14ac:dyDescent="0.2">
      <c r="A74" s="39"/>
      <c r="B74" s="243"/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</row>
  </sheetData>
  <mergeCells count="25">
    <mergeCell ref="B74:P74"/>
    <mergeCell ref="G12:G13"/>
    <mergeCell ref="H12:H13"/>
    <mergeCell ref="B10:B13"/>
    <mergeCell ref="J11:J13"/>
    <mergeCell ref="B72:Q72"/>
    <mergeCell ref="L12:L13"/>
    <mergeCell ref="C10:C13"/>
    <mergeCell ref="A10:A13"/>
    <mergeCell ref="E10:I10"/>
    <mergeCell ref="B73:D73"/>
    <mergeCell ref="K73:N73"/>
    <mergeCell ref="J10:O10"/>
    <mergeCell ref="I11:I13"/>
    <mergeCell ref="E11:E13"/>
    <mergeCell ref="D10:D13"/>
    <mergeCell ref="B8:P8"/>
    <mergeCell ref="G11:H11"/>
    <mergeCell ref="P10:P13"/>
    <mergeCell ref="M12:M13"/>
    <mergeCell ref="N11:N13"/>
    <mergeCell ref="O12:O13"/>
    <mergeCell ref="F11:F13"/>
    <mergeCell ref="K11:K13"/>
    <mergeCell ref="L11:M11"/>
  </mergeCells>
  <phoneticPr fontId="2" type="noConversion"/>
  <printOptions horizontalCentered="1"/>
  <pageMargins left="0.39370078740157483" right="0.39370078740157483" top="0.59055118110236227" bottom="0.59055118110236227" header="0.51181102362204722" footer="0.31496062992125984"/>
  <pageSetup paperSize="9" scale="72" fitToHeight="0" orientation="landscape" horizontalDpi="300" verticalDpi="300" r:id="rId1"/>
  <headerFooter alignWithMargins="0">
    <oddFooter>&amp;R&amp;P</oddFooter>
  </headerFooter>
  <rowBreaks count="1" manualBreakCount="1">
    <brk id="52" max="15" man="1"/>
  </rowBreaks>
  <colBreaks count="1" manualBreakCount="1">
    <brk id="16" min="1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showGridLines="0" showZeros="0" topLeftCell="D1" zoomScale="75" workbookViewId="0">
      <selection activeCell="F5" sqref="F5"/>
    </sheetView>
  </sheetViews>
  <sheetFormatPr defaultColWidth="9.1640625" defaultRowHeight="12.75" x14ac:dyDescent="0.2"/>
  <cols>
    <col min="1" max="1" width="0.33203125" style="95" hidden="1" customWidth="1"/>
    <col min="2" max="2" width="4.33203125" style="95" hidden="1" customWidth="1"/>
    <col min="3" max="3" width="1.1640625" style="95" hidden="1" customWidth="1"/>
    <col min="4" max="4" width="12.83203125" style="95" customWidth="1"/>
    <col min="5" max="5" width="29.5" style="95" customWidth="1"/>
    <col min="6" max="6" width="13.5" style="95" customWidth="1"/>
    <col min="7" max="7" width="12.1640625" style="95" customWidth="1"/>
    <col min="8" max="8" width="12.5" style="97" customWidth="1"/>
    <col min="9" max="9" width="8" style="97" customWidth="1"/>
    <col min="10" max="10" width="8.1640625" style="97" customWidth="1"/>
    <col min="11" max="11" width="8.5" style="97" customWidth="1"/>
    <col min="12" max="12" width="16.6640625" style="97" bestFit="1" customWidth="1"/>
    <col min="13" max="13" width="7.33203125" style="95" customWidth="1"/>
    <col min="14" max="14" width="5.1640625" style="95" customWidth="1"/>
    <col min="15" max="15" width="7.6640625" style="95" customWidth="1"/>
    <col min="16" max="16" width="9" style="95" customWidth="1"/>
    <col min="17" max="17" width="15.33203125" style="95" customWidth="1"/>
    <col min="18" max="18" width="8.5" style="95" customWidth="1"/>
    <col min="19" max="19" width="14.83203125" style="95" customWidth="1"/>
    <col min="20" max="20" width="24.5" style="95" customWidth="1"/>
    <col min="21" max="21" width="21.33203125" style="95" customWidth="1"/>
    <col min="22" max="22" width="19.1640625" style="95" customWidth="1"/>
    <col min="23" max="23" width="19.33203125" style="95" customWidth="1"/>
    <col min="24" max="24" width="21.6640625" style="95" customWidth="1"/>
    <col min="25" max="25" width="19.33203125" style="95" customWidth="1"/>
    <col min="26" max="26" width="26.1640625" style="95" customWidth="1"/>
    <col min="27" max="27" width="37.33203125" style="95" customWidth="1"/>
    <col min="28" max="28" width="17.1640625" style="95" customWidth="1"/>
    <col min="29" max="29" width="20.1640625" style="95" customWidth="1"/>
    <col min="30" max="16384" width="9.1640625" style="95"/>
  </cols>
  <sheetData>
    <row r="1" spans="1:19" ht="20.45" customHeight="1" x14ac:dyDescent="0.25">
      <c r="D1" s="96"/>
      <c r="E1" s="96"/>
      <c r="O1" s="98"/>
      <c r="Q1" s="98" t="s">
        <v>170</v>
      </c>
    </row>
    <row r="2" spans="1:19" ht="12" customHeight="1" x14ac:dyDescent="0.25">
      <c r="O2" s="98"/>
      <c r="Q2" s="98" t="s">
        <v>147</v>
      </c>
    </row>
    <row r="3" spans="1:19" ht="10.9" customHeight="1" x14ac:dyDescent="0.25">
      <c r="O3" s="99"/>
      <c r="Q3" s="99" t="s">
        <v>151</v>
      </c>
    </row>
    <row r="4" spans="1:19" ht="12" customHeight="1" x14ac:dyDescent="0.25">
      <c r="O4" s="99"/>
      <c r="Q4" s="99" t="s">
        <v>150</v>
      </c>
    </row>
    <row r="5" spans="1:19" ht="13.9" customHeight="1" x14ac:dyDescent="0.25">
      <c r="E5" s="100"/>
      <c r="F5" s="100"/>
      <c r="G5" s="100"/>
      <c r="H5" s="264"/>
      <c r="I5" s="264"/>
      <c r="J5" s="264"/>
      <c r="K5" s="264"/>
      <c r="L5" s="264"/>
      <c r="M5" s="264"/>
      <c r="N5" s="264"/>
      <c r="O5" s="99"/>
      <c r="P5" s="101"/>
      <c r="Q5" s="99" t="s">
        <v>303</v>
      </c>
    </row>
    <row r="6" spans="1:19" ht="67.5" customHeight="1" x14ac:dyDescent="0.2">
      <c r="A6" s="102"/>
      <c r="B6" s="102"/>
      <c r="C6" s="102"/>
      <c r="D6" s="263" t="s">
        <v>171</v>
      </c>
      <c r="E6" s="263"/>
      <c r="F6" s="263"/>
      <c r="G6" s="263"/>
      <c r="H6" s="263"/>
      <c r="I6" s="263"/>
      <c r="J6" s="263"/>
      <c r="K6" s="263"/>
      <c r="L6" s="263"/>
      <c r="M6" s="263"/>
      <c r="N6" s="263"/>
    </row>
    <row r="7" spans="1:19" ht="9" customHeight="1" x14ac:dyDescent="0.2">
      <c r="A7" s="102"/>
      <c r="B7" s="102"/>
      <c r="C7" s="102"/>
      <c r="D7" s="102"/>
      <c r="H7" s="103"/>
      <c r="I7" s="103"/>
      <c r="J7" s="103"/>
      <c r="K7" s="103"/>
      <c r="L7" s="104"/>
      <c r="M7" s="105"/>
      <c r="N7" s="106"/>
      <c r="R7" s="101" t="s">
        <v>172</v>
      </c>
    </row>
    <row r="8" spans="1:19" s="96" customFormat="1" ht="48" customHeight="1" x14ac:dyDescent="0.25">
      <c r="A8" s="107" t="s">
        <v>173</v>
      </c>
      <c r="B8" s="108" t="s">
        <v>6</v>
      </c>
      <c r="C8" s="109">
        <v>0</v>
      </c>
      <c r="D8" s="248" t="s">
        <v>174</v>
      </c>
      <c r="E8" s="248" t="s">
        <v>175</v>
      </c>
      <c r="F8" s="252" t="s">
        <v>176</v>
      </c>
      <c r="G8" s="253"/>
      <c r="H8" s="253"/>
      <c r="I8" s="253"/>
      <c r="J8" s="253"/>
      <c r="K8" s="253"/>
      <c r="L8" s="254"/>
      <c r="M8" s="251" t="s">
        <v>177</v>
      </c>
      <c r="N8" s="251"/>
      <c r="O8" s="251"/>
      <c r="P8" s="251"/>
      <c r="Q8" s="251"/>
      <c r="R8" s="251"/>
      <c r="S8" s="251"/>
    </row>
    <row r="9" spans="1:19" s="96" customFormat="1" ht="48" customHeight="1" x14ac:dyDescent="0.25">
      <c r="A9" s="107"/>
      <c r="B9" s="108"/>
      <c r="C9" s="109"/>
      <c r="D9" s="249"/>
      <c r="E9" s="249"/>
      <c r="F9" s="112" t="s">
        <v>178</v>
      </c>
      <c r="G9" s="113"/>
      <c r="H9" s="110"/>
      <c r="I9" s="114" t="s">
        <v>179</v>
      </c>
      <c r="J9" s="114"/>
      <c r="K9" s="111"/>
      <c r="L9" s="251" t="s">
        <v>180</v>
      </c>
      <c r="M9" s="251" t="s">
        <v>181</v>
      </c>
      <c r="N9" s="251"/>
      <c r="O9" s="255" t="s">
        <v>179</v>
      </c>
      <c r="P9" s="255"/>
      <c r="Q9" s="255"/>
      <c r="R9" s="255"/>
      <c r="S9" s="259" t="s">
        <v>180</v>
      </c>
    </row>
    <row r="10" spans="1:19" s="96" customFormat="1" ht="48" customHeight="1" x14ac:dyDescent="0.25">
      <c r="A10" s="107"/>
      <c r="B10" s="108"/>
      <c r="C10" s="109"/>
      <c r="D10" s="249"/>
      <c r="E10" s="249"/>
      <c r="F10" s="112"/>
      <c r="G10" s="115"/>
      <c r="H10" s="251" t="s">
        <v>182</v>
      </c>
      <c r="I10" s="251"/>
      <c r="J10" s="251" t="s">
        <v>183</v>
      </c>
      <c r="K10" s="251"/>
      <c r="L10" s="251"/>
      <c r="M10" s="251"/>
      <c r="N10" s="251"/>
      <c r="O10" s="256" t="s">
        <v>182</v>
      </c>
      <c r="P10" s="257"/>
      <c r="Q10" s="256" t="s">
        <v>183</v>
      </c>
      <c r="R10" s="258"/>
      <c r="S10" s="260"/>
    </row>
    <row r="11" spans="1:19" s="96" customFormat="1" ht="30.75" customHeight="1" x14ac:dyDescent="0.25">
      <c r="A11" s="107" t="s">
        <v>184</v>
      </c>
      <c r="B11" s="108" t="s">
        <v>6</v>
      </c>
      <c r="C11" s="109">
        <v>0</v>
      </c>
      <c r="D11" s="249"/>
      <c r="E11" s="249"/>
      <c r="F11" s="251" t="s">
        <v>185</v>
      </c>
      <c r="G11" s="251"/>
      <c r="H11" s="251"/>
      <c r="I11" s="251"/>
      <c r="J11" s="251"/>
      <c r="K11" s="251"/>
      <c r="L11" s="251"/>
      <c r="M11" s="252" t="s">
        <v>185</v>
      </c>
      <c r="N11" s="253"/>
      <c r="O11" s="253"/>
      <c r="P11" s="253"/>
      <c r="Q11" s="253"/>
      <c r="R11" s="254"/>
      <c r="S11" s="260"/>
    </row>
    <row r="12" spans="1:19" s="96" customFormat="1" ht="110.45" customHeight="1" x14ac:dyDescent="0.25">
      <c r="A12" s="107" t="s">
        <v>186</v>
      </c>
      <c r="B12" s="108" t="s">
        <v>6</v>
      </c>
      <c r="C12" s="109">
        <v>0</v>
      </c>
      <c r="D12" s="250"/>
      <c r="E12" s="250"/>
      <c r="F12" s="48" t="s">
        <v>187</v>
      </c>
      <c r="G12" s="117" t="s">
        <v>188</v>
      </c>
      <c r="H12" s="117"/>
      <c r="I12" s="118"/>
      <c r="J12" s="118"/>
      <c r="K12" s="118"/>
      <c r="L12" s="118"/>
      <c r="M12" s="119"/>
      <c r="N12" s="118"/>
      <c r="O12" s="120"/>
      <c r="P12" s="120"/>
      <c r="Q12" s="148" t="s">
        <v>193</v>
      </c>
      <c r="R12" s="120"/>
      <c r="S12" s="261"/>
    </row>
    <row r="13" spans="1:19" s="96" customFormat="1" ht="26.45" customHeight="1" x14ac:dyDescent="0.25">
      <c r="A13" s="107"/>
      <c r="B13" s="108"/>
      <c r="C13" s="109"/>
      <c r="D13" s="116">
        <v>1</v>
      </c>
      <c r="E13" s="116">
        <v>2</v>
      </c>
      <c r="F13" s="66">
        <v>3</v>
      </c>
      <c r="G13" s="30">
        <v>4</v>
      </c>
      <c r="H13" s="30">
        <v>5</v>
      </c>
      <c r="I13" s="121">
        <v>6</v>
      </c>
      <c r="J13" s="121">
        <v>7</v>
      </c>
      <c r="K13" s="121">
        <v>8</v>
      </c>
      <c r="L13" s="121">
        <v>9</v>
      </c>
      <c r="M13" s="121">
        <v>10</v>
      </c>
      <c r="N13" s="121">
        <v>11</v>
      </c>
      <c r="O13" s="120">
        <v>12</v>
      </c>
      <c r="P13" s="120">
        <v>13</v>
      </c>
      <c r="Q13" s="120">
        <v>14</v>
      </c>
      <c r="R13" s="120">
        <v>15</v>
      </c>
      <c r="S13" s="120">
        <v>16</v>
      </c>
    </row>
    <row r="14" spans="1:19" ht="34.9" customHeight="1" x14ac:dyDescent="0.3">
      <c r="A14" s="122" t="s">
        <v>189</v>
      </c>
      <c r="B14" s="123" t="s">
        <v>6</v>
      </c>
      <c r="C14" s="124">
        <v>0</v>
      </c>
      <c r="D14" s="125">
        <v>41040400</v>
      </c>
      <c r="E14" s="125" t="s">
        <v>190</v>
      </c>
      <c r="F14" s="144" t="s">
        <v>191</v>
      </c>
      <c r="G14" s="145" t="s">
        <v>192</v>
      </c>
      <c r="H14" s="214"/>
      <c r="I14" s="145"/>
      <c r="J14" s="145"/>
      <c r="K14" s="145"/>
      <c r="L14" s="145">
        <f>F14+G14+H14</f>
        <v>32759976</v>
      </c>
      <c r="M14" s="140"/>
      <c r="N14" s="140"/>
      <c r="O14" s="141"/>
      <c r="P14" s="141"/>
      <c r="Q14" s="143"/>
      <c r="R14" s="126"/>
      <c r="S14" s="126"/>
    </row>
    <row r="15" spans="1:19" ht="28.15" customHeight="1" x14ac:dyDescent="0.3">
      <c r="A15" s="122"/>
      <c r="B15" s="123"/>
      <c r="C15" s="124"/>
      <c r="D15" s="125"/>
      <c r="E15" s="150" t="s">
        <v>194</v>
      </c>
      <c r="F15" s="144"/>
      <c r="G15" s="144"/>
      <c r="H15" s="145"/>
      <c r="I15" s="145"/>
      <c r="J15" s="145"/>
      <c r="K15" s="145"/>
      <c r="L15" s="145"/>
      <c r="M15" s="140"/>
      <c r="N15" s="140"/>
      <c r="O15" s="141"/>
      <c r="P15" s="141"/>
      <c r="Q15" s="143">
        <f>2000000+1273040</f>
        <v>3273040</v>
      </c>
      <c r="R15" s="126"/>
      <c r="S15" s="143">
        <f>SUM(M15:R15)</f>
        <v>3273040</v>
      </c>
    </row>
    <row r="16" spans="1:19" ht="27.6" customHeight="1" x14ac:dyDescent="0.3">
      <c r="A16" s="127">
        <v>13</v>
      </c>
      <c r="B16" s="128" t="s">
        <v>6</v>
      </c>
      <c r="C16" s="124">
        <v>0</v>
      </c>
      <c r="D16" s="129"/>
      <c r="E16" s="130" t="s">
        <v>69</v>
      </c>
      <c r="F16" s="146" t="s">
        <v>191</v>
      </c>
      <c r="G16" s="147" t="s">
        <v>192</v>
      </c>
      <c r="H16" s="213"/>
      <c r="I16" s="147"/>
      <c r="J16" s="147"/>
      <c r="K16" s="147"/>
      <c r="L16" s="147">
        <v>32759976</v>
      </c>
      <c r="M16" s="142"/>
      <c r="N16" s="142"/>
      <c r="O16" s="141"/>
      <c r="P16" s="141"/>
      <c r="Q16" s="149">
        <f>2000000+1273040</f>
        <v>3273040</v>
      </c>
      <c r="R16" s="126"/>
      <c r="S16" s="149">
        <f>SUM(M16:R16)</f>
        <v>3273040</v>
      </c>
    </row>
    <row r="17" spans="1:29" s="101" customFormat="1" ht="31.5" customHeight="1" x14ac:dyDescent="0.2">
      <c r="A17" s="131"/>
      <c r="B17" s="132"/>
      <c r="C17" s="132"/>
      <c r="D17" s="95"/>
      <c r="E17" s="95"/>
      <c r="F17" s="95"/>
      <c r="G17" s="95"/>
      <c r="H17" s="97"/>
      <c r="I17" s="97"/>
      <c r="J17" s="97"/>
      <c r="K17" s="97"/>
      <c r="L17" s="97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</row>
    <row r="18" spans="1:29" ht="31.9" customHeight="1" x14ac:dyDescent="0.3">
      <c r="A18" s="133"/>
      <c r="B18" s="134"/>
      <c r="C18" s="134"/>
      <c r="E18" s="242" t="s">
        <v>144</v>
      </c>
      <c r="F18" s="242"/>
      <c r="G18" s="242"/>
      <c r="H18" s="85"/>
      <c r="I18" s="135"/>
      <c r="J18" s="135"/>
      <c r="K18" s="135"/>
      <c r="L18" s="212"/>
      <c r="M18" s="262" t="s">
        <v>196</v>
      </c>
      <c r="N18" s="262"/>
      <c r="O18" s="262"/>
    </row>
    <row r="19" spans="1:29" s="138" customFormat="1" ht="22.15" customHeight="1" x14ac:dyDescent="0.2">
      <c r="A19" s="136"/>
      <c r="B19" s="137"/>
      <c r="C19" s="137"/>
      <c r="D19" s="95"/>
      <c r="E19" s="101"/>
      <c r="F19" s="101"/>
      <c r="G19" s="101"/>
      <c r="H19" s="212"/>
      <c r="I19" s="212"/>
      <c r="J19" s="212"/>
      <c r="K19" s="212"/>
      <c r="L19" s="212"/>
      <c r="M19" s="101"/>
      <c r="N19" s="101"/>
      <c r="O19" s="101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</row>
    <row r="20" spans="1:29" s="138" customFormat="1" x14ac:dyDescent="0.2">
      <c r="A20" s="136"/>
      <c r="B20" s="137"/>
      <c r="C20" s="137"/>
      <c r="D20" s="95"/>
      <c r="E20" s="95"/>
      <c r="F20" s="95"/>
      <c r="G20" s="95"/>
      <c r="H20" s="97"/>
      <c r="I20" s="97"/>
      <c r="J20" s="97"/>
      <c r="K20" s="97"/>
      <c r="L20" s="97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</row>
    <row r="21" spans="1:29" s="138" customFormat="1" x14ac:dyDescent="0.2">
      <c r="A21" s="136"/>
      <c r="B21" s="137"/>
      <c r="C21" s="137"/>
      <c r="D21" s="95"/>
      <c r="E21" s="95"/>
      <c r="F21" s="95"/>
      <c r="G21" s="95"/>
      <c r="H21" s="97"/>
      <c r="I21" s="97"/>
      <c r="J21" s="97"/>
      <c r="K21" s="97"/>
      <c r="L21" s="97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</row>
    <row r="22" spans="1:29" s="138" customFormat="1" x14ac:dyDescent="0.2">
      <c r="A22" s="136"/>
      <c r="B22" s="137"/>
      <c r="C22" s="137"/>
      <c r="D22" s="95"/>
      <c r="E22" s="95"/>
      <c r="F22" s="95"/>
      <c r="G22" s="95"/>
      <c r="H22" s="97"/>
      <c r="I22" s="97"/>
      <c r="J22" s="97"/>
      <c r="K22" s="97"/>
      <c r="L22" s="97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</row>
    <row r="23" spans="1:29" x14ac:dyDescent="0.2">
      <c r="A23" s="133"/>
      <c r="B23" s="134"/>
      <c r="C23" s="134"/>
    </row>
    <row r="24" spans="1:29" x14ac:dyDescent="0.2">
      <c r="A24" s="133"/>
      <c r="B24" s="134"/>
      <c r="C24" s="134"/>
    </row>
    <row r="25" spans="1:29" x14ac:dyDescent="0.2">
      <c r="A25" s="133"/>
      <c r="B25" s="134"/>
      <c r="C25" s="134"/>
    </row>
    <row r="26" spans="1:29" x14ac:dyDescent="0.2">
      <c r="A26" s="133"/>
      <c r="B26" s="134"/>
      <c r="C26" s="134"/>
    </row>
    <row r="27" spans="1:29" x14ac:dyDescent="0.2">
      <c r="A27" s="133"/>
      <c r="B27" s="134"/>
      <c r="C27" s="134"/>
    </row>
    <row r="28" spans="1:29" x14ac:dyDescent="0.2">
      <c r="A28" s="133"/>
      <c r="B28" s="134"/>
      <c r="C28" s="134"/>
    </row>
    <row r="29" spans="1:29" x14ac:dyDescent="0.2">
      <c r="A29" s="133"/>
      <c r="B29" s="134"/>
      <c r="C29" s="134"/>
    </row>
    <row r="30" spans="1:29" x14ac:dyDescent="0.2">
      <c r="A30" s="133"/>
      <c r="B30" s="134"/>
      <c r="C30" s="134"/>
    </row>
    <row r="31" spans="1:29" x14ac:dyDescent="0.2">
      <c r="A31" s="133"/>
      <c r="B31" s="134"/>
      <c r="C31" s="134"/>
    </row>
    <row r="32" spans="1:29" x14ac:dyDescent="0.2">
      <c r="A32" s="133"/>
      <c r="B32" s="134"/>
      <c r="C32" s="134"/>
    </row>
    <row r="33" spans="1:3" x14ac:dyDescent="0.2">
      <c r="A33" s="133"/>
      <c r="B33" s="134"/>
      <c r="C33" s="134"/>
    </row>
    <row r="34" spans="1:3" x14ac:dyDescent="0.2">
      <c r="A34" s="133"/>
      <c r="B34" s="134"/>
      <c r="C34" s="134"/>
    </row>
    <row r="35" spans="1:3" x14ac:dyDescent="0.2">
      <c r="A35" s="133"/>
      <c r="B35" s="134"/>
      <c r="C35" s="134"/>
    </row>
    <row r="36" spans="1:3" x14ac:dyDescent="0.2">
      <c r="A36" s="133"/>
      <c r="B36" s="134"/>
      <c r="C36" s="134"/>
    </row>
    <row r="37" spans="1:3" x14ac:dyDescent="0.2">
      <c r="A37" s="133"/>
      <c r="B37" s="134"/>
      <c r="C37" s="134"/>
    </row>
    <row r="38" spans="1:3" x14ac:dyDescent="0.2">
      <c r="A38" s="133"/>
      <c r="B38" s="134"/>
      <c r="C38" s="134"/>
    </row>
    <row r="39" spans="1:3" x14ac:dyDescent="0.2">
      <c r="A39" s="133"/>
      <c r="B39" s="134"/>
      <c r="C39" s="134"/>
    </row>
    <row r="40" spans="1:3" x14ac:dyDescent="0.2">
      <c r="A40" s="133"/>
      <c r="B40" s="134"/>
      <c r="C40" s="134"/>
    </row>
    <row r="41" spans="1:3" x14ac:dyDescent="0.2">
      <c r="A41" s="133"/>
      <c r="B41" s="134"/>
      <c r="C41" s="134"/>
    </row>
    <row r="42" spans="1:3" x14ac:dyDescent="0.2">
      <c r="A42" s="133"/>
      <c r="B42" s="134"/>
      <c r="C42" s="134"/>
    </row>
    <row r="43" spans="1:3" x14ac:dyDescent="0.2">
      <c r="A43" s="133"/>
      <c r="B43" s="134"/>
      <c r="C43" s="134"/>
    </row>
    <row r="44" spans="1:3" x14ac:dyDescent="0.2">
      <c r="A44" s="133"/>
      <c r="B44" s="134"/>
      <c r="C44" s="134"/>
    </row>
    <row r="45" spans="1:3" x14ac:dyDescent="0.2">
      <c r="A45" s="133"/>
      <c r="B45" s="134"/>
      <c r="C45" s="134"/>
    </row>
    <row r="46" spans="1:3" ht="44.25" customHeight="1" x14ac:dyDescent="0.2">
      <c r="A46" s="133"/>
    </row>
    <row r="47" spans="1:3" x14ac:dyDescent="0.2">
      <c r="A47" s="133"/>
    </row>
    <row r="48" spans="1:3" x14ac:dyDescent="0.2">
      <c r="A48" s="133"/>
    </row>
    <row r="49" spans="3:3" ht="16.5" thickBot="1" x14ac:dyDescent="0.3">
      <c r="C49" s="139"/>
    </row>
    <row r="59" spans="3:3" ht="45.75" customHeight="1" x14ac:dyDescent="0.2"/>
  </sheetData>
  <mergeCells count="18">
    <mergeCell ref="M18:O18"/>
    <mergeCell ref="E18:G18"/>
    <mergeCell ref="D6:N6"/>
    <mergeCell ref="H5:N5"/>
    <mergeCell ref="F11:K11"/>
    <mergeCell ref="H10:I10"/>
    <mergeCell ref="J10:K10"/>
    <mergeCell ref="L9:L11"/>
    <mergeCell ref="F8:L8"/>
    <mergeCell ref="D8:D12"/>
    <mergeCell ref="E8:E12"/>
    <mergeCell ref="M8:S8"/>
    <mergeCell ref="M11:R11"/>
    <mergeCell ref="M9:N10"/>
    <mergeCell ref="O9:R9"/>
    <mergeCell ref="O10:P10"/>
    <mergeCell ref="Q10:R10"/>
    <mergeCell ref="S9:S12"/>
  </mergeCells>
  <phoneticPr fontId="50" type="noConversion"/>
  <printOptions horizontalCentered="1"/>
  <pageMargins left="0.19685039370078741" right="0" top="0.59055118110236227" bottom="0.39370078740157483" header="0.31496062992125984" footer="0.31496062992125984"/>
  <pageSetup paperSize="9" scale="80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C1" workbookViewId="0">
      <selection activeCell="D1" sqref="D1"/>
    </sheetView>
  </sheetViews>
  <sheetFormatPr defaultRowHeight="12.75" x14ac:dyDescent="0.2"/>
  <cols>
    <col min="3" max="3" width="7.5" customWidth="1"/>
    <col min="4" max="4" width="45" customWidth="1"/>
    <col min="5" max="5" width="34" customWidth="1"/>
    <col min="6" max="6" width="10.83203125" customWidth="1"/>
    <col min="7" max="7" width="11" customWidth="1"/>
    <col min="8" max="8" width="12" customWidth="1"/>
    <col min="9" max="9" width="10" customWidth="1"/>
  </cols>
  <sheetData>
    <row r="1" spans="1:9" x14ac:dyDescent="0.2">
      <c r="F1" s="1"/>
      <c r="G1" s="1" t="s">
        <v>203</v>
      </c>
      <c r="H1" s="101"/>
    </row>
    <row r="2" spans="1:9" x14ac:dyDescent="0.2">
      <c r="F2" s="1"/>
      <c r="G2" s="1" t="s">
        <v>147</v>
      </c>
      <c r="H2" s="101"/>
    </row>
    <row r="3" spans="1:9" ht="15.75" x14ac:dyDescent="0.25">
      <c r="A3" s="155"/>
      <c r="B3" s="156"/>
      <c r="C3" s="156"/>
      <c r="D3" s="156"/>
      <c r="E3" s="156"/>
      <c r="F3" s="1"/>
      <c r="G3" s="1" t="s">
        <v>204</v>
      </c>
      <c r="H3" s="12"/>
      <c r="I3" s="156"/>
    </row>
    <row r="4" spans="1:9" ht="15.75" x14ac:dyDescent="0.25">
      <c r="A4" s="155"/>
      <c r="B4" s="156"/>
      <c r="C4" s="156"/>
      <c r="D4" s="156"/>
      <c r="E4" s="156"/>
      <c r="F4" s="1"/>
      <c r="G4" s="1" t="s">
        <v>150</v>
      </c>
      <c r="H4" s="12"/>
      <c r="I4" s="156"/>
    </row>
    <row r="5" spans="1:9" ht="15" x14ac:dyDescent="0.2">
      <c r="A5" s="1"/>
      <c r="B5" s="1"/>
      <c r="C5" s="1"/>
      <c r="D5" s="1"/>
      <c r="E5" s="1"/>
      <c r="F5" s="1"/>
      <c r="G5" s="1" t="s">
        <v>304</v>
      </c>
      <c r="H5" s="176"/>
      <c r="I5" s="157"/>
    </row>
    <row r="6" spans="1:9" ht="18.600000000000001" customHeight="1" x14ac:dyDescent="0.2">
      <c r="A6" s="1"/>
      <c r="B6" s="265" t="s">
        <v>215</v>
      </c>
      <c r="C6" s="266"/>
      <c r="D6" s="266"/>
      <c r="E6" s="266"/>
      <c r="F6" s="266"/>
      <c r="G6" s="266"/>
      <c r="H6" s="266"/>
      <c r="I6" s="266"/>
    </row>
    <row r="7" spans="1:9" ht="10.9" customHeight="1" x14ac:dyDescent="0.2">
      <c r="A7" s="1"/>
      <c r="B7" s="158"/>
      <c r="C7" s="158"/>
      <c r="D7" s="158"/>
      <c r="E7" s="159"/>
      <c r="F7" s="159"/>
      <c r="G7" s="36"/>
      <c r="H7" s="159"/>
      <c r="I7" s="160" t="s">
        <v>24</v>
      </c>
    </row>
    <row r="8" spans="1:9" ht="73.900000000000006" customHeight="1" x14ac:dyDescent="0.2">
      <c r="A8" s="161" t="s">
        <v>93</v>
      </c>
      <c r="B8" s="177" t="s">
        <v>216</v>
      </c>
      <c r="C8" s="177" t="s">
        <v>217</v>
      </c>
      <c r="D8" s="177" t="s">
        <v>205</v>
      </c>
      <c r="E8" s="76" t="s">
        <v>206</v>
      </c>
      <c r="F8" s="76" t="s">
        <v>218</v>
      </c>
      <c r="G8" s="76" t="s">
        <v>219</v>
      </c>
      <c r="H8" s="76" t="s">
        <v>207</v>
      </c>
      <c r="I8" s="162" t="s">
        <v>208</v>
      </c>
    </row>
    <row r="9" spans="1:9" ht="14.25" x14ac:dyDescent="0.2">
      <c r="A9" s="163">
        <v>1</v>
      </c>
      <c r="B9" s="18">
        <v>2</v>
      </c>
      <c r="C9" s="18">
        <v>3</v>
      </c>
      <c r="D9" s="164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</row>
    <row r="10" spans="1:9" ht="25.9" customHeight="1" x14ac:dyDescent="0.2">
      <c r="A10" s="80" t="s">
        <v>138</v>
      </c>
      <c r="B10" s="165"/>
      <c r="C10" s="165"/>
      <c r="D10" s="29" t="s">
        <v>110</v>
      </c>
      <c r="E10" s="166"/>
      <c r="F10" s="166"/>
      <c r="G10" s="167">
        <f>G17</f>
        <v>6531182</v>
      </c>
      <c r="H10" s="167">
        <f>H17</f>
        <v>6010000</v>
      </c>
      <c r="I10" s="167"/>
    </row>
    <row r="11" spans="1:9" ht="42.75" x14ac:dyDescent="0.2">
      <c r="A11" s="74" t="s">
        <v>109</v>
      </c>
      <c r="B11" s="165"/>
      <c r="C11" s="165"/>
      <c r="D11" s="29" t="s">
        <v>110</v>
      </c>
      <c r="E11" s="168"/>
      <c r="F11" s="168"/>
      <c r="G11" s="167">
        <f>G17</f>
        <v>6531182</v>
      </c>
      <c r="H11" s="167">
        <f>H17</f>
        <v>6010000</v>
      </c>
      <c r="I11" s="53"/>
    </row>
    <row r="12" spans="1:9" ht="26.45" customHeight="1" x14ac:dyDescent="0.2">
      <c r="A12" s="80" t="s">
        <v>128</v>
      </c>
      <c r="B12" s="178">
        <v>7310</v>
      </c>
      <c r="C12" s="179" t="s">
        <v>55</v>
      </c>
      <c r="D12" s="62" t="s">
        <v>56</v>
      </c>
      <c r="E12" s="169" t="s">
        <v>209</v>
      </c>
      <c r="F12" s="170">
        <v>2019</v>
      </c>
      <c r="G12" s="170">
        <f>1850000+1250000</f>
        <v>3100000</v>
      </c>
      <c r="H12" s="170">
        <f>1850000+1250000</f>
        <v>3100000</v>
      </c>
      <c r="I12" s="170"/>
    </row>
    <row r="13" spans="1:9" ht="55.15" customHeight="1" x14ac:dyDescent="0.2">
      <c r="A13" s="80" t="s">
        <v>129</v>
      </c>
      <c r="B13" s="178">
        <v>7330</v>
      </c>
      <c r="C13" s="179" t="s">
        <v>55</v>
      </c>
      <c r="D13" s="62" t="s">
        <v>291</v>
      </c>
      <c r="E13" s="171" t="s">
        <v>210</v>
      </c>
      <c r="F13" s="172" t="s">
        <v>211</v>
      </c>
      <c r="G13" s="172">
        <v>1471182</v>
      </c>
      <c r="H13" s="170">
        <f>400000+550000</f>
        <v>950000</v>
      </c>
      <c r="I13" s="170">
        <v>29</v>
      </c>
    </row>
    <row r="14" spans="1:9" ht="28.9" customHeight="1" x14ac:dyDescent="0.2">
      <c r="A14" s="80" t="s">
        <v>129</v>
      </c>
      <c r="B14" s="178">
        <v>7330</v>
      </c>
      <c r="C14" s="179" t="s">
        <v>55</v>
      </c>
      <c r="D14" s="62" t="s">
        <v>61</v>
      </c>
      <c r="E14" s="171" t="s">
        <v>290</v>
      </c>
      <c r="F14" s="170">
        <v>2019</v>
      </c>
      <c r="G14" s="170">
        <v>260000</v>
      </c>
      <c r="H14" s="170">
        <v>260000</v>
      </c>
      <c r="I14" s="170"/>
    </row>
    <row r="15" spans="1:9" ht="42" customHeight="1" x14ac:dyDescent="0.2">
      <c r="A15" s="80" t="s">
        <v>281</v>
      </c>
      <c r="B15" s="178">
        <v>7363</v>
      </c>
      <c r="C15" s="179" t="s">
        <v>21</v>
      </c>
      <c r="D15" s="62" t="s">
        <v>282</v>
      </c>
      <c r="E15" s="171" t="s">
        <v>292</v>
      </c>
      <c r="F15" s="170">
        <v>2019</v>
      </c>
      <c r="G15" s="170">
        <v>1500000</v>
      </c>
      <c r="H15" s="170">
        <v>1500000</v>
      </c>
      <c r="I15" s="170"/>
    </row>
    <row r="16" spans="1:9" ht="42" customHeight="1" x14ac:dyDescent="0.2">
      <c r="A16" s="80" t="s">
        <v>281</v>
      </c>
      <c r="B16" s="178">
        <v>7363</v>
      </c>
      <c r="C16" s="179" t="s">
        <v>21</v>
      </c>
      <c r="D16" s="62" t="s">
        <v>282</v>
      </c>
      <c r="E16" s="171" t="s">
        <v>293</v>
      </c>
      <c r="F16" s="170">
        <v>2019</v>
      </c>
      <c r="G16" s="170">
        <v>200000</v>
      </c>
      <c r="H16" s="170">
        <v>200000</v>
      </c>
      <c r="I16" s="170"/>
    </row>
    <row r="17" spans="1:9" x14ac:dyDescent="0.2">
      <c r="A17" s="173"/>
      <c r="B17" s="121"/>
      <c r="C17" s="180"/>
      <c r="D17" s="181" t="s">
        <v>212</v>
      </c>
      <c r="E17" s="182"/>
      <c r="F17" s="182"/>
      <c r="G17" s="174">
        <f>SUM(G12:G16)</f>
        <v>6531182</v>
      </c>
      <c r="H17" s="174">
        <f>SUM(H12:H16)</f>
        <v>6010000</v>
      </c>
      <c r="I17" s="174"/>
    </row>
    <row r="18" spans="1:9" ht="16.899999999999999" customHeight="1" x14ac:dyDescent="0.3">
      <c r="D18" s="175" t="s">
        <v>213</v>
      </c>
    </row>
    <row r="19" spans="1:9" ht="18.75" x14ac:dyDescent="0.3">
      <c r="D19" s="175" t="s">
        <v>214</v>
      </c>
      <c r="G19" s="175" t="s">
        <v>280</v>
      </c>
    </row>
  </sheetData>
  <mergeCells count="1">
    <mergeCell ref="B6:I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7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topLeftCell="C34" zoomScale="75" zoomScaleNormal="75" zoomScaleSheetLayoutView="100" workbookViewId="0">
      <selection activeCell="C47" sqref="C47"/>
    </sheetView>
  </sheetViews>
  <sheetFormatPr defaultColWidth="9.1640625" defaultRowHeight="12.75" x14ac:dyDescent="0.2"/>
  <cols>
    <col min="1" max="1" width="9.1640625" style="31"/>
    <col min="2" max="2" width="10.1640625" style="31" customWidth="1"/>
    <col min="3" max="3" width="68" style="4" customWidth="1"/>
    <col min="4" max="4" width="52" style="4" customWidth="1"/>
    <col min="5" max="5" width="17.5" style="4" customWidth="1"/>
    <col min="6" max="6" width="13.6640625" style="4" customWidth="1"/>
    <col min="7" max="7" width="13.5" style="4" customWidth="1"/>
    <col min="8" max="8" width="17.33203125" style="4" customWidth="1"/>
    <col min="9" max="9" width="4.33203125" style="3" customWidth="1"/>
    <col min="10" max="16384" width="9.1640625" style="3"/>
  </cols>
  <sheetData>
    <row r="1" spans="1:8" s="17" customFormat="1" ht="16.899999999999999" customHeight="1" x14ac:dyDescent="0.25">
      <c r="A1" s="82"/>
      <c r="B1" s="82"/>
      <c r="C1" s="82"/>
      <c r="D1" s="82"/>
      <c r="E1" s="82"/>
      <c r="F1" s="1"/>
      <c r="G1" s="1" t="s">
        <v>149</v>
      </c>
      <c r="H1" s="82"/>
    </row>
    <row r="2" spans="1:8" s="17" customFormat="1" ht="16.899999999999999" customHeight="1" x14ac:dyDescent="0.25">
      <c r="A2" s="82"/>
      <c r="B2" s="82"/>
      <c r="C2" s="82"/>
      <c r="D2" s="82"/>
      <c r="E2" s="82"/>
      <c r="F2" s="1"/>
      <c r="G2" s="1" t="s">
        <v>147</v>
      </c>
      <c r="H2" s="82"/>
    </row>
    <row r="3" spans="1:8" s="17" customFormat="1" ht="16.899999999999999" customHeight="1" x14ac:dyDescent="0.25">
      <c r="A3" s="82"/>
      <c r="B3" s="82"/>
      <c r="C3" s="82"/>
      <c r="D3" s="82"/>
      <c r="E3" s="82"/>
      <c r="F3" s="1"/>
      <c r="G3" s="1" t="s">
        <v>151</v>
      </c>
      <c r="H3" s="82"/>
    </row>
    <row r="4" spans="1:8" s="17" customFormat="1" ht="16.899999999999999" customHeight="1" x14ac:dyDescent="0.25">
      <c r="A4" s="82"/>
      <c r="B4" s="82"/>
      <c r="C4" s="82"/>
      <c r="D4" s="82"/>
      <c r="E4" s="82"/>
      <c r="F4" s="1"/>
      <c r="G4" s="1" t="s">
        <v>150</v>
      </c>
      <c r="H4" s="82"/>
    </row>
    <row r="5" spans="1:8" s="17" customFormat="1" ht="16.899999999999999" customHeight="1" x14ac:dyDescent="0.25">
      <c r="A5" s="82"/>
      <c r="B5" s="82"/>
      <c r="C5" s="82"/>
      <c r="D5" s="82"/>
      <c r="E5" s="82"/>
      <c r="F5" s="1"/>
      <c r="G5" s="1" t="s">
        <v>305</v>
      </c>
      <c r="H5" s="82"/>
    </row>
    <row r="6" spans="1:8" s="17" customFormat="1" ht="16.899999999999999" customHeight="1" x14ac:dyDescent="0.25">
      <c r="A6" s="82"/>
      <c r="B6" s="82"/>
      <c r="C6" s="82"/>
      <c r="D6" s="82"/>
      <c r="E6" s="82"/>
      <c r="F6" s="1"/>
      <c r="G6" s="82"/>
      <c r="H6" s="82"/>
    </row>
    <row r="7" spans="1:8" ht="39" customHeight="1" x14ac:dyDescent="0.2">
      <c r="A7" s="281" t="s">
        <v>94</v>
      </c>
      <c r="B7" s="282"/>
      <c r="C7" s="282"/>
      <c r="D7" s="282"/>
      <c r="E7" s="282"/>
      <c r="F7" s="282"/>
      <c r="G7" s="282"/>
      <c r="H7" s="282"/>
    </row>
    <row r="8" spans="1:8" ht="19.149999999999999" customHeight="1" x14ac:dyDescent="0.2">
      <c r="A8" s="32"/>
      <c r="B8" s="32"/>
      <c r="C8" s="5"/>
      <c r="D8" s="35"/>
      <c r="E8" s="35"/>
      <c r="F8" s="35"/>
      <c r="G8" s="36"/>
      <c r="H8" s="27" t="s">
        <v>24</v>
      </c>
    </row>
    <row r="9" spans="1:8" ht="62.45" customHeight="1" x14ac:dyDescent="0.2">
      <c r="A9" s="94" t="s">
        <v>102</v>
      </c>
      <c r="B9" s="18" t="s">
        <v>101</v>
      </c>
      <c r="C9" s="51" t="s">
        <v>95</v>
      </c>
      <c r="D9" s="28" t="s">
        <v>20</v>
      </c>
      <c r="E9" s="76" t="s">
        <v>96</v>
      </c>
      <c r="F9" s="37" t="s">
        <v>7</v>
      </c>
      <c r="G9" s="60" t="s">
        <v>8</v>
      </c>
      <c r="H9" s="28" t="s">
        <v>69</v>
      </c>
    </row>
    <row r="10" spans="1:8" ht="38.450000000000003" customHeight="1" x14ac:dyDescent="0.2">
      <c r="A10" s="65" t="s">
        <v>43</v>
      </c>
      <c r="B10" s="65" t="s">
        <v>16</v>
      </c>
      <c r="C10" s="45" t="s">
        <v>199</v>
      </c>
      <c r="D10" s="285" t="s">
        <v>200</v>
      </c>
      <c r="E10" s="278" t="s">
        <v>295</v>
      </c>
      <c r="F10" s="153">
        <f>96800+18000</f>
        <v>114800</v>
      </c>
      <c r="G10" s="58">
        <v>10000</v>
      </c>
      <c r="H10" s="167">
        <f t="shared" ref="H10:H37" si="0">F10+G10</f>
        <v>124800</v>
      </c>
    </row>
    <row r="11" spans="1:8" ht="38.450000000000003" customHeight="1" x14ac:dyDescent="0.2">
      <c r="A11" s="66">
        <v>1010</v>
      </c>
      <c r="B11" s="65" t="s">
        <v>25</v>
      </c>
      <c r="C11" s="48" t="s">
        <v>45</v>
      </c>
      <c r="D11" s="286"/>
      <c r="E11" s="279"/>
      <c r="F11" s="153">
        <f>1253240+58000+30000+15606+73500</f>
        <v>1430346</v>
      </c>
      <c r="G11" s="216">
        <v>77000</v>
      </c>
      <c r="H11" s="167">
        <f>SUM(F11:G11)</f>
        <v>1507346</v>
      </c>
    </row>
    <row r="12" spans="1:8" ht="38.450000000000003" customHeight="1" x14ac:dyDescent="0.2">
      <c r="A12" s="58">
        <v>4060</v>
      </c>
      <c r="B12" s="49" t="s">
        <v>29</v>
      </c>
      <c r="C12" s="62" t="s">
        <v>60</v>
      </c>
      <c r="D12" s="287"/>
      <c r="E12" s="280"/>
      <c r="F12" s="153">
        <f>2000+8500</f>
        <v>10500</v>
      </c>
      <c r="G12" s="152"/>
      <c r="H12" s="167">
        <f>SUM(F12:G12)</f>
        <v>10500</v>
      </c>
    </row>
    <row r="13" spans="1:8" ht="26.45" customHeight="1" x14ac:dyDescent="0.2">
      <c r="A13" s="66">
        <v>3090</v>
      </c>
      <c r="B13" s="65" t="s">
        <v>135</v>
      </c>
      <c r="C13" s="45" t="s">
        <v>139</v>
      </c>
      <c r="D13" s="284" t="s">
        <v>155</v>
      </c>
      <c r="E13" s="267" t="s">
        <v>294</v>
      </c>
      <c r="F13" s="215">
        <v>40000</v>
      </c>
      <c r="G13" s="215"/>
      <c r="H13" s="167">
        <f t="shared" si="0"/>
        <v>40000</v>
      </c>
    </row>
    <row r="14" spans="1:8" ht="18.600000000000001" customHeight="1" x14ac:dyDescent="0.2">
      <c r="A14" s="66">
        <v>3210</v>
      </c>
      <c r="B14" s="65" t="s">
        <v>41</v>
      </c>
      <c r="C14" s="45" t="s">
        <v>42</v>
      </c>
      <c r="D14" s="284"/>
      <c r="E14" s="275"/>
      <c r="F14" s="215">
        <v>190915</v>
      </c>
      <c r="G14" s="215"/>
      <c r="H14" s="167">
        <f t="shared" si="0"/>
        <v>190915</v>
      </c>
    </row>
    <row r="15" spans="1:8" ht="18.600000000000001" customHeight="1" x14ac:dyDescent="0.2">
      <c r="A15" s="58">
        <v>3242</v>
      </c>
      <c r="B15" s="49" t="s">
        <v>27</v>
      </c>
      <c r="C15" s="61" t="s">
        <v>62</v>
      </c>
      <c r="D15" s="284"/>
      <c r="E15" s="268"/>
      <c r="F15" s="215">
        <f>285749+30000</f>
        <v>315749</v>
      </c>
      <c r="G15" s="215"/>
      <c r="H15" s="167">
        <f t="shared" si="0"/>
        <v>315749</v>
      </c>
    </row>
    <row r="16" spans="1:8" ht="48" customHeight="1" x14ac:dyDescent="0.2">
      <c r="A16" s="58">
        <v>3140</v>
      </c>
      <c r="B16" s="49" t="s">
        <v>162</v>
      </c>
      <c r="C16" s="62" t="s">
        <v>163</v>
      </c>
      <c r="D16" s="118" t="s">
        <v>169</v>
      </c>
      <c r="E16" s="151" t="s">
        <v>197</v>
      </c>
      <c r="F16" s="215">
        <v>205000</v>
      </c>
      <c r="G16" s="215"/>
      <c r="H16" s="167">
        <f t="shared" si="0"/>
        <v>205000</v>
      </c>
    </row>
    <row r="17" spans="1:8" ht="57.75" customHeight="1" x14ac:dyDescent="0.2">
      <c r="A17" s="58">
        <v>3242</v>
      </c>
      <c r="B17" s="49" t="s">
        <v>27</v>
      </c>
      <c r="C17" s="62" t="s">
        <v>62</v>
      </c>
      <c r="D17" s="118" t="s">
        <v>298</v>
      </c>
      <c r="E17" s="151" t="s">
        <v>300</v>
      </c>
      <c r="F17" s="215">
        <v>63000</v>
      </c>
      <c r="G17" s="215"/>
      <c r="H17" s="167">
        <f t="shared" si="0"/>
        <v>63000</v>
      </c>
    </row>
    <row r="18" spans="1:8" ht="35.450000000000003" customHeight="1" x14ac:dyDescent="0.2">
      <c r="A18" s="58">
        <v>4060</v>
      </c>
      <c r="B18" s="49" t="s">
        <v>29</v>
      </c>
      <c r="C18" s="218" t="s">
        <v>60</v>
      </c>
      <c r="D18" s="283" t="s">
        <v>156</v>
      </c>
      <c r="E18" s="283" t="s">
        <v>296</v>
      </c>
      <c r="F18" s="219">
        <f>66000+10000</f>
        <v>76000</v>
      </c>
      <c r="G18" s="219"/>
      <c r="H18" s="220">
        <f t="shared" si="0"/>
        <v>76000</v>
      </c>
    </row>
    <row r="19" spans="1:8" ht="21.6" customHeight="1" x14ac:dyDescent="0.2">
      <c r="A19" s="58">
        <v>4081</v>
      </c>
      <c r="B19" s="49" t="s">
        <v>50</v>
      </c>
      <c r="C19" s="62" t="s">
        <v>63</v>
      </c>
      <c r="D19" s="283"/>
      <c r="E19" s="283"/>
      <c r="F19" s="215">
        <v>115296</v>
      </c>
      <c r="G19" s="215"/>
      <c r="H19" s="167">
        <f t="shared" si="0"/>
        <v>115296</v>
      </c>
    </row>
    <row r="20" spans="1:8" ht="19.899999999999999" customHeight="1" x14ac:dyDescent="0.2">
      <c r="A20" s="58">
        <v>4082</v>
      </c>
      <c r="B20" s="49" t="s">
        <v>50</v>
      </c>
      <c r="C20" s="62" t="s">
        <v>64</v>
      </c>
      <c r="D20" s="277"/>
      <c r="E20" s="277"/>
      <c r="F20" s="215">
        <f>791500+3000</f>
        <v>794500</v>
      </c>
      <c r="G20" s="215"/>
      <c r="H20" s="167">
        <f t="shared" si="0"/>
        <v>794500</v>
      </c>
    </row>
    <row r="21" spans="1:8" ht="44.45" customHeight="1" x14ac:dyDescent="0.2">
      <c r="A21" s="58">
        <v>5061</v>
      </c>
      <c r="B21" s="49" t="s">
        <v>31</v>
      </c>
      <c r="C21" s="62" t="s">
        <v>40</v>
      </c>
      <c r="D21" s="276" t="s">
        <v>157</v>
      </c>
      <c r="E21" s="267" t="s">
        <v>297</v>
      </c>
      <c r="F21" s="215">
        <f>447914+4000</f>
        <v>451914</v>
      </c>
      <c r="G21" s="215"/>
      <c r="H21" s="167">
        <f t="shared" si="0"/>
        <v>451914</v>
      </c>
    </row>
    <row r="22" spans="1:8" ht="44.45" customHeight="1" x14ac:dyDescent="0.2">
      <c r="A22" s="58">
        <v>5062</v>
      </c>
      <c r="B22" s="49" t="s">
        <v>299</v>
      </c>
      <c r="C22" s="62" t="s">
        <v>287</v>
      </c>
      <c r="D22" s="277"/>
      <c r="E22" s="268"/>
      <c r="F22" s="215">
        <v>50000</v>
      </c>
      <c r="G22" s="215"/>
      <c r="H22" s="167">
        <f t="shared" si="0"/>
        <v>50000</v>
      </c>
    </row>
    <row r="23" spans="1:8" ht="13.9" customHeight="1" x14ac:dyDescent="0.2">
      <c r="A23" s="66">
        <v>1010</v>
      </c>
      <c r="B23" s="65" t="s">
        <v>25</v>
      </c>
      <c r="C23" s="48" t="s">
        <v>45</v>
      </c>
      <c r="D23" s="269" t="s">
        <v>100</v>
      </c>
      <c r="E23" s="267" t="s">
        <v>283</v>
      </c>
      <c r="F23" s="215">
        <f>200000</f>
        <v>200000</v>
      </c>
      <c r="G23" s="215">
        <f>7000000</f>
        <v>7000000</v>
      </c>
      <c r="H23" s="167">
        <f t="shared" si="0"/>
        <v>7200000</v>
      </c>
    </row>
    <row r="24" spans="1:8" ht="15" x14ac:dyDescent="0.2">
      <c r="A24" s="66">
        <v>6030</v>
      </c>
      <c r="B24" s="65" t="s">
        <v>33</v>
      </c>
      <c r="C24" s="45" t="s">
        <v>51</v>
      </c>
      <c r="D24" s="270"/>
      <c r="E24" s="275"/>
      <c r="F24" s="215">
        <f>9518037+507000+198000+94000+956000</f>
        <v>11273037</v>
      </c>
      <c r="G24" s="215">
        <f>3996000+2100000+1500000+300000</f>
        <v>7896000</v>
      </c>
      <c r="H24" s="167">
        <f t="shared" si="0"/>
        <v>19169037</v>
      </c>
    </row>
    <row r="25" spans="1:8" ht="15" x14ac:dyDescent="0.2">
      <c r="A25" s="66">
        <v>7310</v>
      </c>
      <c r="B25" s="65" t="s">
        <v>55</v>
      </c>
      <c r="C25" s="45" t="s">
        <v>56</v>
      </c>
      <c r="D25" s="270"/>
      <c r="E25" s="275"/>
      <c r="F25" s="215"/>
      <c r="G25" s="215">
        <f>1850000+1250000+1500000+200000</f>
        <v>4800000</v>
      </c>
      <c r="H25" s="167">
        <f t="shared" si="0"/>
        <v>4800000</v>
      </c>
    </row>
    <row r="26" spans="1:8" ht="26.45" customHeight="1" x14ac:dyDescent="0.2">
      <c r="A26" s="66">
        <v>7330</v>
      </c>
      <c r="B26" s="65" t="s">
        <v>55</v>
      </c>
      <c r="C26" s="45" t="s">
        <v>61</v>
      </c>
      <c r="D26" s="271"/>
      <c r="E26" s="268"/>
      <c r="F26" s="215"/>
      <c r="G26" s="215">
        <f>400000+550000</f>
        <v>950000</v>
      </c>
      <c r="H26" s="167">
        <f t="shared" si="0"/>
        <v>950000</v>
      </c>
    </row>
    <row r="27" spans="1:8" ht="47.45" customHeight="1" x14ac:dyDescent="0.2">
      <c r="A27" s="66">
        <v>6011</v>
      </c>
      <c r="B27" s="65" t="s">
        <v>33</v>
      </c>
      <c r="C27" s="45" t="s">
        <v>54</v>
      </c>
      <c r="D27" s="77" t="s">
        <v>97</v>
      </c>
      <c r="E27" s="81" t="s">
        <v>154</v>
      </c>
      <c r="F27" s="215"/>
      <c r="G27" s="215">
        <v>2170000</v>
      </c>
      <c r="H27" s="167">
        <f t="shared" si="0"/>
        <v>2170000</v>
      </c>
    </row>
    <row r="28" spans="1:8" ht="37.15" customHeight="1" x14ac:dyDescent="0.2">
      <c r="A28" s="66">
        <v>6030</v>
      </c>
      <c r="B28" s="65" t="s">
        <v>33</v>
      </c>
      <c r="C28" s="45" t="s">
        <v>51</v>
      </c>
      <c r="D28" s="77" t="s">
        <v>198</v>
      </c>
      <c r="E28" s="154" t="s">
        <v>202</v>
      </c>
      <c r="F28" s="215">
        <v>199000</v>
      </c>
      <c r="G28" s="215"/>
      <c r="H28" s="167">
        <f t="shared" si="0"/>
        <v>199000</v>
      </c>
    </row>
    <row r="29" spans="1:8" ht="47.45" customHeight="1" x14ac:dyDescent="0.2">
      <c r="A29" s="58">
        <v>7130</v>
      </c>
      <c r="B29" s="69" t="s">
        <v>66</v>
      </c>
      <c r="C29" s="70" t="s">
        <v>67</v>
      </c>
      <c r="D29" s="93" t="s">
        <v>99</v>
      </c>
      <c r="E29" s="154" t="s">
        <v>201</v>
      </c>
      <c r="F29" s="215">
        <f>216000+200000+255196</f>
        <v>671196</v>
      </c>
      <c r="G29" s="215"/>
      <c r="H29" s="167">
        <f t="shared" si="0"/>
        <v>671196</v>
      </c>
    </row>
    <row r="30" spans="1:8" ht="17.45" customHeight="1" x14ac:dyDescent="0.2">
      <c r="A30" s="58">
        <v>6030</v>
      </c>
      <c r="B30" s="49" t="s">
        <v>33</v>
      </c>
      <c r="C30" s="61" t="s">
        <v>51</v>
      </c>
      <c r="D30" s="269" t="s">
        <v>158</v>
      </c>
      <c r="E30" s="267" t="s">
        <v>201</v>
      </c>
      <c r="F30" s="215"/>
      <c r="G30" s="215">
        <v>100000</v>
      </c>
      <c r="H30" s="167">
        <f t="shared" si="0"/>
        <v>100000</v>
      </c>
    </row>
    <row r="31" spans="1:8" ht="24.6" customHeight="1" x14ac:dyDescent="0.2">
      <c r="A31" s="58">
        <v>7330</v>
      </c>
      <c r="B31" s="69" t="s">
        <v>55</v>
      </c>
      <c r="C31" s="70" t="s">
        <v>61</v>
      </c>
      <c r="D31" s="270"/>
      <c r="E31" s="275"/>
      <c r="F31" s="215"/>
      <c r="G31" s="215">
        <v>260000</v>
      </c>
      <c r="H31" s="167">
        <f t="shared" si="0"/>
        <v>260000</v>
      </c>
    </row>
    <row r="32" spans="1:8" ht="26.45" customHeight="1" x14ac:dyDescent="0.25">
      <c r="A32" s="58">
        <v>7350</v>
      </c>
      <c r="B32" s="49" t="s">
        <v>55</v>
      </c>
      <c r="C32" s="67" t="s">
        <v>68</v>
      </c>
      <c r="D32" s="271"/>
      <c r="E32" s="268"/>
      <c r="F32" s="215">
        <f>20000+20000</f>
        <v>40000</v>
      </c>
      <c r="G32" s="215"/>
      <c r="H32" s="167">
        <f t="shared" si="0"/>
        <v>40000</v>
      </c>
    </row>
    <row r="33" spans="1:16" ht="36.6" customHeight="1" x14ac:dyDescent="0.2">
      <c r="A33" s="66">
        <v>7693</v>
      </c>
      <c r="B33" s="73" t="s">
        <v>21</v>
      </c>
      <c r="C33" s="45" t="s">
        <v>59</v>
      </c>
      <c r="D33" s="273" t="s">
        <v>288</v>
      </c>
      <c r="E33" s="276" t="s">
        <v>160</v>
      </c>
      <c r="F33" s="215">
        <f>40000</f>
        <v>40000</v>
      </c>
      <c r="G33" s="215"/>
      <c r="H33" s="167">
        <f t="shared" si="0"/>
        <v>40000</v>
      </c>
    </row>
    <row r="34" spans="1:16" ht="60.75" customHeight="1" x14ac:dyDescent="0.2">
      <c r="A34" s="66">
        <v>9800</v>
      </c>
      <c r="B34" s="73" t="s">
        <v>132</v>
      </c>
      <c r="C34" s="45" t="s">
        <v>153</v>
      </c>
      <c r="D34" s="274"/>
      <c r="E34" s="277"/>
      <c r="F34" s="215">
        <v>173000</v>
      </c>
      <c r="G34" s="215">
        <v>62000</v>
      </c>
      <c r="H34" s="167">
        <f t="shared" si="0"/>
        <v>235000</v>
      </c>
    </row>
    <row r="35" spans="1:16" ht="38.450000000000003" customHeight="1" x14ac:dyDescent="0.2">
      <c r="A35" s="66">
        <v>8330</v>
      </c>
      <c r="B35" s="73" t="s">
        <v>58</v>
      </c>
      <c r="C35" s="45" t="s">
        <v>92</v>
      </c>
      <c r="D35" s="78" t="s">
        <v>98</v>
      </c>
      <c r="E35" s="81" t="s">
        <v>154</v>
      </c>
      <c r="F35" s="215"/>
      <c r="G35" s="215">
        <f>218400</f>
        <v>218400</v>
      </c>
      <c r="H35" s="167">
        <f t="shared" si="0"/>
        <v>218400</v>
      </c>
    </row>
    <row r="36" spans="1:16" ht="106.15" customHeight="1" x14ac:dyDescent="0.2">
      <c r="A36" s="66">
        <v>9800</v>
      </c>
      <c r="B36" s="73" t="s">
        <v>132</v>
      </c>
      <c r="C36" s="45" t="s">
        <v>153</v>
      </c>
      <c r="D36" s="78" t="s">
        <v>289</v>
      </c>
      <c r="E36" s="81" t="s">
        <v>159</v>
      </c>
      <c r="F36" s="215">
        <v>125000</v>
      </c>
      <c r="G36" s="215"/>
      <c r="H36" s="167">
        <f t="shared" si="0"/>
        <v>125000</v>
      </c>
    </row>
    <row r="37" spans="1:16" ht="60" customHeight="1" x14ac:dyDescent="0.2">
      <c r="A37" s="66">
        <v>9800</v>
      </c>
      <c r="B37" s="73" t="s">
        <v>132</v>
      </c>
      <c r="C37" s="45" t="s">
        <v>153</v>
      </c>
      <c r="D37" s="78" t="s">
        <v>285</v>
      </c>
      <c r="E37" s="81" t="s">
        <v>284</v>
      </c>
      <c r="F37" s="215">
        <f>100000</f>
        <v>100000</v>
      </c>
      <c r="G37" s="215">
        <v>60000</v>
      </c>
      <c r="H37" s="167">
        <f t="shared" si="0"/>
        <v>160000</v>
      </c>
    </row>
    <row r="38" spans="1:16" ht="18.600000000000001" customHeight="1" x14ac:dyDescent="0.2">
      <c r="A38" s="30"/>
      <c r="B38" s="33"/>
      <c r="C38" s="29" t="s">
        <v>19</v>
      </c>
      <c r="D38" s="79"/>
      <c r="E38" s="50"/>
      <c r="F38" s="64">
        <f>SUM(F10:F37)</f>
        <v>16679253</v>
      </c>
      <c r="G38" s="64">
        <f>SUM(G10:G37)</f>
        <v>23603400</v>
      </c>
      <c r="H38" s="64">
        <f>SUM(H10:H37)</f>
        <v>40282653</v>
      </c>
    </row>
    <row r="39" spans="1:16" ht="30" customHeight="1" x14ac:dyDescent="0.2">
      <c r="F39" s="34"/>
      <c r="G39" s="54"/>
      <c r="H39" s="34"/>
    </row>
    <row r="40" spans="1:16" ht="36.6" customHeight="1" x14ac:dyDescent="0.3">
      <c r="A40" s="89"/>
      <c r="B40" s="89"/>
      <c r="C40" s="89" t="s">
        <v>146</v>
      </c>
      <c r="D40" s="211" t="s">
        <v>196</v>
      </c>
      <c r="E40" s="89"/>
      <c r="F40" s="91"/>
      <c r="G40" s="91"/>
      <c r="H40" s="89"/>
    </row>
    <row r="41" spans="1:16" ht="20.25" customHeight="1" x14ac:dyDescent="0.2">
      <c r="A41" s="272"/>
      <c r="B41" s="272"/>
      <c r="C41" s="272"/>
      <c r="D41" s="272"/>
      <c r="E41" s="272"/>
      <c r="F41" s="272"/>
      <c r="G41" s="272"/>
      <c r="H41" s="272"/>
      <c r="I41" s="38"/>
      <c r="J41" s="38"/>
      <c r="K41" s="38"/>
      <c r="L41" s="38"/>
      <c r="M41" s="38"/>
      <c r="N41" s="38"/>
      <c r="O41" s="38"/>
      <c r="P41" s="38"/>
    </row>
    <row r="42" spans="1:16" ht="20.25" customHeight="1" x14ac:dyDescent="0.2">
      <c r="A42" s="243"/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</row>
    <row r="43" spans="1:16" ht="30.75" customHeight="1" x14ac:dyDescent="0.2">
      <c r="A43" s="272"/>
      <c r="B43" s="272"/>
      <c r="C43" s="272"/>
      <c r="D43" s="272"/>
      <c r="E43" s="272"/>
      <c r="F43" s="272"/>
      <c r="G43" s="272"/>
      <c r="H43" s="272"/>
      <c r="I43" s="38"/>
      <c r="J43" s="38"/>
      <c r="K43" s="38"/>
      <c r="L43" s="38"/>
      <c r="M43" s="38"/>
      <c r="N43" s="38"/>
      <c r="O43" s="38"/>
      <c r="P43" s="38"/>
    </row>
    <row r="44" spans="1:16" ht="21" customHeight="1" x14ac:dyDescent="0.2">
      <c r="A44" s="243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</row>
  </sheetData>
  <mergeCells count="19">
    <mergeCell ref="E10:E12"/>
    <mergeCell ref="A7:H7"/>
    <mergeCell ref="D23:D26"/>
    <mergeCell ref="D18:D20"/>
    <mergeCell ref="D13:D15"/>
    <mergeCell ref="E13:E15"/>
    <mergeCell ref="E18:E20"/>
    <mergeCell ref="E23:E26"/>
    <mergeCell ref="D10:D12"/>
    <mergeCell ref="D21:D22"/>
    <mergeCell ref="E21:E22"/>
    <mergeCell ref="D30:D32"/>
    <mergeCell ref="A44:P44"/>
    <mergeCell ref="A41:H41"/>
    <mergeCell ref="A43:H43"/>
    <mergeCell ref="A42:P42"/>
    <mergeCell ref="D33:D34"/>
    <mergeCell ref="E30:E32"/>
    <mergeCell ref="E33:E34"/>
  </mergeCells>
  <phoneticPr fontId="25" type="noConversion"/>
  <pageMargins left="0.51181102362204722" right="0.51181102362204722" top="0.74803149606299213" bottom="0.39370078740157483" header="0.35433070866141736" footer="0.35433070866141736"/>
  <pageSetup paperSize="9" scale="75" fitToHeight="32" orientation="landscape" r:id="rId1"/>
  <headerFooter alignWithMargins="0"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AD47A81-3F3B-41E4-9710-05F554331E4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дод1</vt:lpstr>
      <vt:lpstr>дод.2  </vt:lpstr>
      <vt:lpstr>дод.3</vt:lpstr>
      <vt:lpstr>дод.4</vt:lpstr>
      <vt:lpstr>дод.5</vt:lpstr>
      <vt:lpstr>дод. 6</vt:lpstr>
      <vt:lpstr>'дод.2  '!Заголовки_для_печати</vt:lpstr>
      <vt:lpstr>дод.3!Заголовки_для_печати</vt:lpstr>
      <vt:lpstr>'дод. 6'!Область_печати</vt:lpstr>
      <vt:lpstr>'дод.2  '!Область_печати</vt:lpstr>
      <vt:lpstr>дод.3!Область_печати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Виталий</cp:lastModifiedBy>
  <cp:lastPrinted>2019-08-22T13:54:03Z</cp:lastPrinted>
  <dcterms:created xsi:type="dcterms:W3CDTF">2014-01-17T10:52:16Z</dcterms:created>
  <dcterms:modified xsi:type="dcterms:W3CDTF">2019-09-03T08:58:19Z</dcterms:modified>
</cp:coreProperties>
</file>