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27.11.18\"/>
    </mc:Choice>
  </mc:AlternateContent>
  <bookViews>
    <workbookView xWindow="0" yWindow="765" windowWidth="15480" windowHeight="9435" activeTab="5"/>
  </bookViews>
  <sheets>
    <sheet name="дод.1" sheetId="13" r:id="rId1"/>
    <sheet name="дод.2 " sheetId="14" r:id="rId2"/>
    <sheet name="дод.3" sheetId="1" r:id="rId3"/>
    <sheet name="дод.4" sheetId="11" r:id="rId4"/>
    <sheet name="дод.5" sheetId="6" r:id="rId5"/>
    <sheet name="дод.6" sheetId="8" r:id="rId6"/>
  </sheets>
  <definedNames>
    <definedName name="_xlnm.Print_Titles" localSheetId="0">дод.1!$A:$E,дод.1!$4:$4</definedName>
    <definedName name="_xlnm.Print_Titles" localSheetId="1">'дод.2 '!$6:$6</definedName>
    <definedName name="_xlnm.Print_Titles" localSheetId="2">дод.3!$5:$7</definedName>
    <definedName name="_xlnm.Print_Titles" localSheetId="4">дод.5!$5:$5</definedName>
    <definedName name="_xlnm.Print_Area" localSheetId="0">дод.1!$A$1:$F$66</definedName>
    <definedName name="_xlnm.Print_Area" localSheetId="1">'дод.2 '!$A$2:$F$21</definedName>
    <definedName name="_xlnm.Print_Area" localSheetId="3">дод.4!$D$4:$N$13</definedName>
    <definedName name="_xlnm.Print_Area" localSheetId="4">дод.5!$B$1:$I$35</definedName>
    <definedName name="_xlnm.Print_Area" localSheetId="5">дод.6!$A$1:$H$48</definedName>
  </definedNames>
  <calcPr calcId="162913"/>
</workbook>
</file>

<file path=xl/calcChain.xml><?xml version="1.0" encoding="utf-8"?>
<calcChain xmlns="http://schemas.openxmlformats.org/spreadsheetml/2006/main">
  <c r="D63" i="13" l="1"/>
  <c r="D62" i="13"/>
  <c r="C62" i="13" s="1"/>
  <c r="G10" i="8"/>
  <c r="F10" i="8"/>
  <c r="H10" i="8" s="1"/>
  <c r="H9" i="8"/>
  <c r="I12" i="6"/>
  <c r="I23" i="6"/>
  <c r="H13" i="1"/>
  <c r="H12" i="1" s="1"/>
  <c r="O13" i="1"/>
  <c r="F13" i="1"/>
  <c r="F12" i="1" s="1"/>
  <c r="O35" i="1"/>
  <c r="F11" i="8"/>
  <c r="D10" i="14"/>
  <c r="F8" i="8"/>
  <c r="H8" i="8" s="1"/>
  <c r="E47" i="1"/>
  <c r="F16" i="1"/>
  <c r="E16" i="1" s="1"/>
  <c r="F47" i="1"/>
  <c r="F11" i="1"/>
  <c r="E11" i="1" s="1"/>
  <c r="G11" i="1"/>
  <c r="G28" i="8"/>
  <c r="I16" i="6"/>
  <c r="O26" i="1"/>
  <c r="N26" i="1" s="1"/>
  <c r="J26" i="1" s="1"/>
  <c r="P26" i="1" s="1"/>
  <c r="E10" i="14"/>
  <c r="F57" i="13"/>
  <c r="H40" i="8"/>
  <c r="F25" i="8"/>
  <c r="G22" i="8"/>
  <c r="F22" i="8"/>
  <c r="H22" i="8" s="1"/>
  <c r="F48" i="1"/>
  <c r="O29" i="1"/>
  <c r="N29" i="1" s="1"/>
  <c r="J29" i="1" s="1"/>
  <c r="F29" i="1"/>
  <c r="F36" i="8"/>
  <c r="F37" i="1"/>
  <c r="G8" i="8"/>
  <c r="I9" i="6"/>
  <c r="O11" i="1"/>
  <c r="N11" i="1" s="1"/>
  <c r="J11" i="1" s="1"/>
  <c r="G33" i="8"/>
  <c r="F16" i="8"/>
  <c r="H16" i="8" s="1"/>
  <c r="H13" i="8"/>
  <c r="F15" i="8"/>
  <c r="H15" i="8" s="1"/>
  <c r="F24" i="1"/>
  <c r="F23" i="1" s="1"/>
  <c r="H24" i="1"/>
  <c r="O20" i="1"/>
  <c r="N20" i="1" s="1"/>
  <c r="F20" i="1"/>
  <c r="E20" i="1" s="1"/>
  <c r="E19" i="1" s="1"/>
  <c r="F22" i="1"/>
  <c r="O48" i="1"/>
  <c r="N48" i="1" s="1"/>
  <c r="J48" i="1" s="1"/>
  <c r="G41" i="8"/>
  <c r="H41" i="8" s="1"/>
  <c r="G17" i="8"/>
  <c r="H17" i="8" s="1"/>
  <c r="G26" i="8"/>
  <c r="H26" i="8" s="1"/>
  <c r="K45" i="1"/>
  <c r="K43" i="1" s="1"/>
  <c r="O41" i="1"/>
  <c r="N41" i="1" s="1"/>
  <c r="I10" i="6"/>
  <c r="I27" i="6"/>
  <c r="H29" i="8"/>
  <c r="N27" i="1"/>
  <c r="N28" i="1"/>
  <c r="N30" i="1"/>
  <c r="J30" i="1" s="1"/>
  <c r="P30" i="1" s="1"/>
  <c r="O25" i="1"/>
  <c r="J27" i="1"/>
  <c r="E27" i="1"/>
  <c r="P27" i="1" s="1"/>
  <c r="F25" i="1"/>
  <c r="G25" i="1"/>
  <c r="H25" i="1"/>
  <c r="E29" i="1"/>
  <c r="E26" i="1"/>
  <c r="O22" i="1"/>
  <c r="N22" i="1" s="1"/>
  <c r="H11" i="1"/>
  <c r="D9" i="14"/>
  <c r="D8" i="14" s="1"/>
  <c r="D16" i="14"/>
  <c r="H39" i="8"/>
  <c r="H38" i="8"/>
  <c r="H21" i="8"/>
  <c r="G18" i="8"/>
  <c r="H31" i="8"/>
  <c r="H32" i="8"/>
  <c r="J44" i="1"/>
  <c r="J45" i="1"/>
  <c r="P45" i="1" s="1"/>
  <c r="G34" i="8"/>
  <c r="F34" i="8"/>
  <c r="F42" i="8"/>
  <c r="F7" i="8" s="1"/>
  <c r="H33" i="8"/>
  <c r="H35" i="8"/>
  <c r="E48" i="1"/>
  <c r="F32" i="1"/>
  <c r="E32" i="1" s="1"/>
  <c r="J31" i="1"/>
  <c r="J32" i="1"/>
  <c r="G31" i="1"/>
  <c r="H31" i="1"/>
  <c r="I31" i="1"/>
  <c r="H36" i="8"/>
  <c r="H11" i="8"/>
  <c r="H12" i="8"/>
  <c r="H14" i="8"/>
  <c r="H19" i="8"/>
  <c r="H20" i="8"/>
  <c r="H23" i="8"/>
  <c r="H24" i="8"/>
  <c r="H25" i="8"/>
  <c r="H27" i="8"/>
  <c r="H28" i="8"/>
  <c r="H30" i="8"/>
  <c r="H37" i="8"/>
  <c r="E37" i="1"/>
  <c r="E34" i="1"/>
  <c r="E35" i="1"/>
  <c r="E36" i="1"/>
  <c r="E38" i="1"/>
  <c r="E33" i="1"/>
  <c r="K34" i="1"/>
  <c r="O34" i="1"/>
  <c r="N34" i="1" s="1"/>
  <c r="N35" i="1"/>
  <c r="J35" i="1" s="1"/>
  <c r="P35" i="1" s="1"/>
  <c r="O36" i="1"/>
  <c r="N36" i="1" s="1"/>
  <c r="J36" i="1" s="1"/>
  <c r="P36" i="1" s="1"/>
  <c r="J37" i="1"/>
  <c r="P37" i="1" s="1"/>
  <c r="O38" i="1"/>
  <c r="N38" i="1" s="1"/>
  <c r="J38" i="1" s="1"/>
  <c r="P38" i="1" s="1"/>
  <c r="K26" i="1"/>
  <c r="K29" i="1"/>
  <c r="K25" i="1"/>
  <c r="K11" i="1"/>
  <c r="E14" i="1"/>
  <c r="O12" i="1"/>
  <c r="N12" i="1" s="1"/>
  <c r="J12" i="1"/>
  <c r="K12" i="1"/>
  <c r="N47" i="1"/>
  <c r="N46" i="1" s="1"/>
  <c r="J46" i="1" s="1"/>
  <c r="K46" i="1"/>
  <c r="E46" i="1"/>
  <c r="E43" i="1"/>
  <c r="E22" i="1"/>
  <c r="E21" i="1"/>
  <c r="J20" i="1"/>
  <c r="K40" i="1"/>
  <c r="K39" i="1" s="1"/>
  <c r="N40" i="1"/>
  <c r="N42" i="1"/>
  <c r="J42" i="1" s="1"/>
  <c r="P42" i="1" s="1"/>
  <c r="E42" i="1"/>
  <c r="E39" i="1" s="1"/>
  <c r="E17" i="1"/>
  <c r="P17" i="1" s="1"/>
  <c r="E18" i="1"/>
  <c r="K16" i="1"/>
  <c r="K15" i="1" s="1"/>
  <c r="N16" i="1"/>
  <c r="K18" i="1"/>
  <c r="N18" i="1"/>
  <c r="E24" i="1"/>
  <c r="K24" i="1"/>
  <c r="N24" i="1"/>
  <c r="N23" i="1"/>
  <c r="N43" i="1"/>
  <c r="O46" i="1"/>
  <c r="O15" i="1"/>
  <c r="O23" i="1"/>
  <c r="O43" i="1"/>
  <c r="K19" i="1"/>
  <c r="K33" i="1"/>
  <c r="L15" i="1"/>
  <c r="L19" i="1"/>
  <c r="L23" i="1"/>
  <c r="L25" i="1"/>
  <c r="L33" i="1"/>
  <c r="L39" i="1"/>
  <c r="L43" i="1"/>
  <c r="L46" i="1"/>
  <c r="M15" i="1"/>
  <c r="M19" i="1"/>
  <c r="M23" i="1"/>
  <c r="M25" i="1"/>
  <c r="M33" i="1"/>
  <c r="M39" i="1"/>
  <c r="M43" i="1"/>
  <c r="M46" i="1"/>
  <c r="I12" i="1"/>
  <c r="I15" i="1"/>
  <c r="I19" i="1"/>
  <c r="I23" i="1"/>
  <c r="I25" i="1"/>
  <c r="I33" i="1"/>
  <c r="I39" i="1"/>
  <c r="I43" i="1"/>
  <c r="I46" i="1"/>
  <c r="G12" i="1"/>
  <c r="G15" i="1"/>
  <c r="G19" i="1"/>
  <c r="G23" i="1"/>
  <c r="G33" i="1"/>
  <c r="G39" i="1"/>
  <c r="G43" i="1"/>
  <c r="G46" i="1"/>
  <c r="H15" i="1"/>
  <c r="H20" i="1"/>
  <c r="H19" i="1" s="1"/>
  <c r="H23" i="1"/>
  <c r="H33" i="1"/>
  <c r="H39" i="1"/>
  <c r="H43" i="1"/>
  <c r="H46" i="1"/>
  <c r="F33" i="1"/>
  <c r="F39" i="1"/>
  <c r="F43" i="1"/>
  <c r="F46" i="1"/>
  <c r="C32" i="13"/>
  <c r="C31" i="13"/>
  <c r="P14" i="1"/>
  <c r="D61" i="13"/>
  <c r="F62" i="13"/>
  <c r="E62" i="13"/>
  <c r="C21" i="13"/>
  <c r="D43" i="13"/>
  <c r="C43" i="13" s="1"/>
  <c r="F9" i="14"/>
  <c r="F8" i="14" s="1"/>
  <c r="F13" i="14" s="1"/>
  <c r="C11" i="14"/>
  <c r="F16" i="14"/>
  <c r="D17" i="14"/>
  <c r="C17" i="14" s="1"/>
  <c r="D18" i="14"/>
  <c r="E18" i="14"/>
  <c r="F18" i="14"/>
  <c r="E7" i="13"/>
  <c r="F7" i="13"/>
  <c r="F10" i="13"/>
  <c r="F30" i="13"/>
  <c r="D8" i="13"/>
  <c r="C9" i="13"/>
  <c r="E10" i="13"/>
  <c r="C11" i="13"/>
  <c r="C12" i="13"/>
  <c r="C13" i="13"/>
  <c r="C16" i="13"/>
  <c r="C17" i="13"/>
  <c r="C18" i="13"/>
  <c r="C19" i="13"/>
  <c r="C20" i="13"/>
  <c r="C22" i="13"/>
  <c r="C23" i="13"/>
  <c r="C24" i="13"/>
  <c r="C25" i="13"/>
  <c r="E26" i="13"/>
  <c r="F26" i="13"/>
  <c r="C27" i="13"/>
  <c r="D26" i="13"/>
  <c r="C26" i="13"/>
  <c r="C29" i="13"/>
  <c r="D30" i="13"/>
  <c r="E30" i="13"/>
  <c r="C30" i="13"/>
  <c r="C33" i="13"/>
  <c r="D36" i="13"/>
  <c r="D35" i="13" s="1"/>
  <c r="E36" i="13"/>
  <c r="E35" i="13" s="1"/>
  <c r="F36" i="13"/>
  <c r="F35" i="13" s="1"/>
  <c r="F34" i="13" s="1"/>
  <c r="F48" i="13"/>
  <c r="C37" i="13"/>
  <c r="C38" i="13"/>
  <c r="D40" i="13"/>
  <c r="C40" i="13" s="1"/>
  <c r="C41" i="13"/>
  <c r="C42" i="13"/>
  <c r="D45" i="13"/>
  <c r="C45" i="13" s="1"/>
  <c r="C46" i="13"/>
  <c r="C47" i="13"/>
  <c r="D48" i="13"/>
  <c r="C50" i="13"/>
  <c r="C51" i="13"/>
  <c r="D53" i="13"/>
  <c r="D52" i="13" s="1"/>
  <c r="E53" i="13"/>
  <c r="C53" i="13" s="1"/>
  <c r="E54" i="13"/>
  <c r="C54" i="13" s="1"/>
  <c r="E60" i="13"/>
  <c r="E59" i="13" s="1"/>
  <c r="E58" i="13" s="1"/>
  <c r="F60" i="13"/>
  <c r="F59" i="13" s="1"/>
  <c r="F58" i="13" s="1"/>
  <c r="C28" i="13"/>
  <c r="D15" i="13"/>
  <c r="D10" i="13"/>
  <c r="C10" i="13" s="1"/>
  <c r="E49" i="13"/>
  <c r="E48" i="13" s="1"/>
  <c r="C48" i="13" s="1"/>
  <c r="C44" i="13"/>
  <c r="N13" i="1"/>
  <c r="J13" i="1" s="1"/>
  <c r="D7" i="13"/>
  <c r="C8" i="13"/>
  <c r="C63" i="13"/>
  <c r="E6" i="13"/>
  <c r="O19" i="1"/>
  <c r="H18" i="8"/>
  <c r="C49" i="13"/>
  <c r="F6" i="13"/>
  <c r="P21" i="1"/>
  <c r="J41" i="1"/>
  <c r="P41" i="1" s="1"/>
  <c r="O39" i="1"/>
  <c r="C7" i="13"/>
  <c r="F19" i="14"/>
  <c r="F14" i="14"/>
  <c r="N33" i="1" l="1"/>
  <c r="D13" i="14"/>
  <c r="D15" i="14"/>
  <c r="D19" i="14"/>
  <c r="D14" i="14"/>
  <c r="N19" i="1"/>
  <c r="J22" i="1"/>
  <c r="J19" i="1" s="1"/>
  <c r="P19" i="1"/>
  <c r="G49" i="1"/>
  <c r="G10" i="1" s="1"/>
  <c r="P32" i="1"/>
  <c r="P29" i="1"/>
  <c r="E15" i="1"/>
  <c r="I29" i="6"/>
  <c r="I7" i="6" s="1"/>
  <c r="F15" i="14"/>
  <c r="O49" i="1"/>
  <c r="O9" i="1" s="1"/>
  <c r="F31" i="1"/>
  <c r="E31" i="1" s="1"/>
  <c r="P31" i="1" s="1"/>
  <c r="D39" i="13"/>
  <c r="C39" i="13" s="1"/>
  <c r="C36" i="13"/>
  <c r="J47" i="1"/>
  <c r="P47" i="1" s="1"/>
  <c r="O33" i="1"/>
  <c r="J16" i="1"/>
  <c r="P16" i="1" s="1"/>
  <c r="J40" i="1"/>
  <c r="P20" i="1"/>
  <c r="P48" i="1"/>
  <c r="H34" i="8"/>
  <c r="H42" i="8" s="1"/>
  <c r="F19" i="1"/>
  <c r="G9" i="1"/>
  <c r="P11" i="1"/>
  <c r="D60" i="13"/>
  <c r="C61" i="13"/>
  <c r="C15" i="13"/>
  <c r="D14" i="13"/>
  <c r="E34" i="13"/>
  <c r="M49" i="1"/>
  <c r="L49" i="1"/>
  <c r="K23" i="1"/>
  <c r="K49" i="1" s="1"/>
  <c r="J24" i="1"/>
  <c r="J23" i="1" s="1"/>
  <c r="J18" i="1"/>
  <c r="P18" i="1" s="1"/>
  <c r="N15" i="1"/>
  <c r="J15" i="1"/>
  <c r="J39" i="1"/>
  <c r="P39" i="1" s="1"/>
  <c r="J34" i="1"/>
  <c r="J28" i="1"/>
  <c r="P28" i="1" s="1"/>
  <c r="N25" i="1"/>
  <c r="J25" i="1" s="1"/>
  <c r="G42" i="8"/>
  <c r="F56" i="13"/>
  <c r="E57" i="13"/>
  <c r="C57" i="13" s="1"/>
  <c r="O10" i="1"/>
  <c r="F6" i="8"/>
  <c r="D34" i="13"/>
  <c r="C34" i="13" s="1"/>
  <c r="P40" i="1"/>
  <c r="N39" i="1"/>
  <c r="C35" i="13"/>
  <c r="I6" i="6"/>
  <c r="F15" i="1"/>
  <c r="F49" i="1" s="1"/>
  <c r="I49" i="1"/>
  <c r="E23" i="1"/>
  <c r="P23" i="1" s="1"/>
  <c r="P24" i="1"/>
  <c r="P22" i="1"/>
  <c r="P46" i="1"/>
  <c r="E13" i="1"/>
  <c r="P44" i="1"/>
  <c r="J43" i="1"/>
  <c r="P43" i="1" s="1"/>
  <c r="H49" i="1"/>
  <c r="E25" i="1"/>
  <c r="E9" i="14"/>
  <c r="E16" i="14"/>
  <c r="C16" i="14" s="1"/>
  <c r="C10" i="14"/>
  <c r="H6" i="8" l="1"/>
  <c r="H7" i="8"/>
  <c r="P25" i="1"/>
  <c r="F10" i="1"/>
  <c r="F9" i="1"/>
  <c r="H9" i="1"/>
  <c r="H10" i="1"/>
  <c r="P13" i="1"/>
  <c r="E12" i="1"/>
  <c r="E56" i="13"/>
  <c r="F55" i="13"/>
  <c r="P34" i="1"/>
  <c r="J33" i="1"/>
  <c r="P33" i="1" s="1"/>
  <c r="N49" i="1"/>
  <c r="L10" i="1"/>
  <c r="L9" i="1"/>
  <c r="C60" i="13"/>
  <c r="D59" i="13"/>
  <c r="C9" i="14"/>
  <c r="E8" i="14"/>
  <c r="I9" i="1"/>
  <c r="I10" i="1"/>
  <c r="G7" i="8"/>
  <c r="G6" i="8"/>
  <c r="K10" i="1"/>
  <c r="K9" i="1"/>
  <c r="M10" i="1"/>
  <c r="M9" i="1"/>
  <c r="C14" i="13"/>
  <c r="D6" i="13"/>
  <c r="P15" i="1"/>
  <c r="N10" i="1" l="1"/>
  <c r="N9" i="1"/>
  <c r="C6" i="13"/>
  <c r="E14" i="14"/>
  <c r="C14" i="14" s="1"/>
  <c r="E15" i="14"/>
  <c r="C15" i="14" s="1"/>
  <c r="E13" i="14"/>
  <c r="C13" i="14" s="1"/>
  <c r="C8" i="14"/>
  <c r="E19" i="14"/>
  <c r="C19" i="14" s="1"/>
  <c r="D58" i="13"/>
  <c r="C58" i="13" s="1"/>
  <c r="C59" i="13"/>
  <c r="E55" i="13"/>
  <c r="F52" i="13"/>
  <c r="F64" i="13" s="1"/>
  <c r="P12" i="1"/>
  <c r="P49" i="1" s="1"/>
  <c r="E49" i="1"/>
  <c r="J49" i="1"/>
  <c r="E52" i="13" l="1"/>
  <c r="C55" i="13"/>
  <c r="D64" i="13"/>
  <c r="J10" i="1"/>
  <c r="J9" i="1"/>
  <c r="E9" i="1"/>
  <c r="P9" i="1" s="1"/>
  <c r="E10" i="1"/>
  <c r="P10" i="1" l="1"/>
  <c r="C52" i="13"/>
  <c r="E64" i="13"/>
  <c r="C64" i="13" s="1"/>
</calcChain>
</file>

<file path=xl/sharedStrings.xml><?xml version="1.0" encoding="utf-8"?>
<sst xmlns="http://schemas.openxmlformats.org/spreadsheetml/2006/main" count="412" uniqueCount="235">
  <si>
    <t>Код</t>
  </si>
  <si>
    <t>Найменування 
згідно з класифікацією фінансування бюджету</t>
  </si>
  <si>
    <t>Загальне фінансування</t>
  </si>
  <si>
    <t>Фінансування за активними операціями</t>
  </si>
  <si>
    <t>Зміни обсягів бюджетних коштів</t>
  </si>
  <si>
    <t>На початок періоду</t>
  </si>
  <si>
    <t>Найменування згідно
 з класифікацією доходів бюджету</t>
  </si>
  <si>
    <t>Офіційні трансферти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</si>
  <si>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</si>
  <si>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</si>
  <si>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</si>
  <si>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</si>
  <si>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</si>
  <si>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</si>
  <si>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</si>
  <si>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-</t>
  </si>
  <si>
    <t>Внутрішні податки на товари та послуги</t>
  </si>
  <si>
    <t>Доходи від операцій з капіталом</t>
  </si>
  <si>
    <t>Надходження від продажу основного капіталу</t>
  </si>
  <si>
    <t>Субвенція загального фонду на:</t>
  </si>
  <si>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</si>
  <si>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</si>
  <si>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</si>
  <si>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</si>
  <si>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</si>
  <si>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</si>
  <si>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</si>
  <si>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</si>
  <si>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</si>
  <si>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</si>
  <si>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Код бюджету</t>
  </si>
  <si>
    <t xml:space="preserve">Назва місцевого бюджету адміністративно-територіальної одиниці  </t>
  </si>
  <si>
    <t>О5</t>
  </si>
  <si>
    <t>О3</t>
  </si>
  <si>
    <t>O2</t>
  </si>
  <si>
    <t>О4</t>
  </si>
  <si>
    <t>в т.ч. бюджет розвитку</t>
  </si>
  <si>
    <t>Власні надходження бюджетних установ</t>
  </si>
  <si>
    <t>Надходження від продажу землі і нематеріальних активів</t>
  </si>
  <si>
    <t>Від органів державного управління</t>
  </si>
  <si>
    <t>Всього доходів</t>
  </si>
  <si>
    <t>бюджет розвитку</t>
  </si>
  <si>
    <t xml:space="preserve">Всього </t>
  </si>
  <si>
    <t xml:space="preserve">Загальний обсяг фінансування будівництва </t>
  </si>
  <si>
    <t xml:space="preserve">Відсоток завершеності  будівництва об'єктів на майбутні роки </t>
  </si>
  <si>
    <t xml:space="preserve"> Всього видатків на завершення будівництва об’єктів на майбутні роки </t>
  </si>
  <si>
    <t xml:space="preserve">Разом видатків на поточний рік </t>
  </si>
  <si>
    <t>Найменування місцевої (регіональної) програми</t>
  </si>
  <si>
    <t>Разом загальний та спеціальний фонди</t>
  </si>
  <si>
    <t>0490</t>
  </si>
  <si>
    <t>Місцеві податки</t>
  </si>
  <si>
    <t>Назва об’єктів відповідно  до проектно- кошторисної документації тощо</t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</si>
  <si>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</si>
  <si>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</si>
  <si>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r>
      <t>Код ТПКВКМБ /
ТКВКБМС</t>
    </r>
    <r>
      <rPr>
        <b/>
        <vertAlign val="superscript"/>
        <sz val="10"/>
        <rFont val="Times New Roman"/>
        <family val="1"/>
        <charset val="204"/>
      </rPr>
      <t>3</t>
    </r>
  </si>
  <si>
    <r>
      <t>Код ФКВКБ</t>
    </r>
    <r>
      <rPr>
        <strike/>
        <vertAlign val="superscript"/>
        <sz val="8"/>
        <rFont val="Times New Roman"/>
        <family val="1"/>
        <charset val="204"/>
      </rPr>
      <t>3</t>
    </r>
  </si>
  <si>
    <r>
      <t>Код ФКВКБ</t>
    </r>
    <r>
      <rPr>
        <b/>
        <vertAlign val="superscript"/>
        <sz val="10"/>
        <rFont val="Times New Roman"/>
        <family val="1"/>
        <charset val="204"/>
      </rPr>
      <t>4</t>
    </r>
  </si>
  <si>
    <t>Податок на прибуток підприємств та фінансових установ комунальної власності</t>
  </si>
  <si>
    <t>Акцизний податок з реалізації суб'єктами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</si>
  <si>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</si>
  <si>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</si>
  <si>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</si>
  <si>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</si>
  <si>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</si>
  <si>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</si>
  <si>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</si>
  <si>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</si>
  <si>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</si>
  <si>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</si>
  <si>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</si>
  <si>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</si>
  <si>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</si>
  <si>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 яких частка сільськогосподарського товаровиробництва за попередній податковий (звітний) рік  дорівнює або  перевищує 75  відсотків</t>
  </si>
  <si>
    <t>Надходження від викидів забруднюючих речовин в атмосферне повітря стаціонарними джерелами забруднення</t>
  </si>
  <si>
    <r>
      <t>Надходження від скидів забруднюючих речовин безпосередньо у водні об</t>
    </r>
    <r>
      <rPr>
        <sz val="9"/>
        <rFont val="Arial Cyr"/>
        <charset val="204"/>
      </rPr>
      <t>’</t>
    </r>
    <r>
      <rPr>
        <sz val="9"/>
        <rFont val="Times New Roman"/>
        <family val="1"/>
        <charset val="204"/>
      </rPr>
      <t>єкти</t>
    </r>
  </si>
  <si>
    <t>Надходження від розміщення відходів у спеціально відведених для цього місцях чи на  об'єктах, крім розміщення окремих відходів як вторинної сировини</t>
  </si>
  <si>
    <t>Інші надходження</t>
  </si>
  <si>
    <t>Адміністративні штрафи та інші санкції</t>
  </si>
  <si>
    <t>Адміністративні штрафи та штрафні санкції за порушення  законодавства у сфері виробництва  та обігу алкогольних напоїв та тютюнових виробів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</si>
  <si>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</si>
  <si>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</si>
  <si>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</si>
  <si>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</si>
  <si>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</si>
  <si>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</si>
  <si>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</t>
  </si>
  <si>
    <r>
      <t>Державне мито, пов</t>
    </r>
    <r>
      <rPr>
        <sz val="9"/>
        <rFont val="Arial Cyr"/>
        <charset val="204"/>
      </rPr>
      <t>‘</t>
    </r>
    <r>
      <rPr>
        <sz val="9"/>
        <rFont val="Times New Roman"/>
        <family val="1"/>
        <charset val="204"/>
      </rPr>
      <t>язане з видачею та оформленням закордонних паспортів (посвідок) та паспортів громадян України</t>
    </r>
  </si>
  <si>
    <t>Надходження вiд плати за послуги, що надаються бюджетними установами згiдно iз законодавством</t>
  </si>
  <si>
    <t>Плата за послуги, що надаються бюджетними установами згiдно з їх основною дiяльнiстю</t>
  </si>
  <si>
    <t>Плата за оренду майна бюджетних установ</t>
  </si>
  <si>
    <t>Кошти вiд реалiзацiї безхазяйного майна, знахiдок, спадкового майна, майна, одержаного територiальною громадою в порядку спадкування чи дарування, а також валютнi цiнностi i грошовi кошти, власники яких невiдомi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</si>
  <si>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</si>
  <si>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</si>
  <si>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Секретар ради                                                                                                   Т.Є. Гукай</t>
  </si>
  <si>
    <t>грн.</t>
  </si>
  <si>
    <r>
      <t xml:space="preserve">Міська рада </t>
    </r>
    <r>
      <rPr>
        <i/>
        <sz val="10"/>
        <rFont val="Times New Roman"/>
        <family val="1"/>
        <charset val="204"/>
      </rPr>
      <t>(головний розпорядник)</t>
    </r>
  </si>
  <si>
    <r>
      <t xml:space="preserve">Міська рада </t>
    </r>
    <r>
      <rPr>
        <i/>
        <sz val="10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</si>
  <si>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0910</t>
  </si>
  <si>
    <t>Соціальний захист та соціальне забезпечення</t>
  </si>
  <si>
    <t>1090</t>
  </si>
  <si>
    <t>1040</t>
  </si>
  <si>
    <t>Оздоровлення та відпочинок дітей (крім заходів з оздоровлення дітей, що здійснюється за рахунок коштів на оздоровлення громадян, які постраждали внаслідок Чорнобильської катастрофи)</t>
  </si>
  <si>
    <t>Культура і мистецтво</t>
  </si>
  <si>
    <t>0828</t>
  </si>
  <si>
    <t>Фізична культура і спорт</t>
  </si>
  <si>
    <t>0810</t>
  </si>
  <si>
    <t>Житлово-комунальне господарство</t>
  </si>
  <si>
    <t>0610</t>
  </si>
  <si>
    <t>Капітальний ремонт житлового фонду</t>
  </si>
  <si>
    <t>0620</t>
  </si>
  <si>
    <t>Внески до статутного капіталу суб'єктів господарювання</t>
  </si>
  <si>
    <t>0180</t>
  </si>
  <si>
    <t xml:space="preserve">       Секретар ради                                                                                                                                                        Т.Є. Гукай                                                                                                                                               </t>
  </si>
  <si>
    <t xml:space="preserve"> грн.</t>
  </si>
  <si>
    <t>Волноваська міська рада</t>
  </si>
  <si>
    <t>Дотації на</t>
  </si>
  <si>
    <t xml:space="preserve">Субвенції </t>
  </si>
  <si>
    <t xml:space="preserve">Секретар ради </t>
  </si>
  <si>
    <t>Т.Є. Гукай</t>
  </si>
  <si>
    <t>Експертна грошова оцінка земельної ділянки, що підлягає продажу</t>
  </si>
  <si>
    <t>Капітальний ремонт будівлі по вул. Центральній 11а</t>
  </si>
  <si>
    <t xml:space="preserve">                 Секретар ради                                                                                                                        Т.Є. Гукай</t>
  </si>
  <si>
    <r>
      <t xml:space="preserve">Міська  рада </t>
    </r>
    <r>
      <rPr>
        <i/>
        <sz val="10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</si>
  <si>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Секретар ради                                                                                                                                       Т.Є. Гукай</t>
  </si>
  <si>
    <t>Фінансування за рахунок змін залишків коштів бюджета</t>
  </si>
  <si>
    <t>На кінець періоду</t>
  </si>
  <si>
    <t>Кошти, що передаються з загального фонду бюджету до бюджету розвитку (спеціальний фонд)</t>
  </si>
  <si>
    <t>Всього фінансування бюджета за типом кредитора</t>
  </si>
  <si>
    <t>Всього фінансування бюджета за типом боргового зобов'язання</t>
  </si>
  <si>
    <t>Секретар ради</t>
  </si>
  <si>
    <t>Забезпечення діяльності місцевих центрів фізичного здоров'я населення  "Спорт для всіх" та проведення фізкультурно-масових заходів серед населення регіону</t>
  </si>
  <si>
    <t>1050</t>
  </si>
  <si>
    <t>Організація та проведення громадських робіт</t>
  </si>
  <si>
    <t>Пальне</t>
  </si>
  <si>
    <t>Субвенція спеціального фонду:</t>
  </si>
  <si>
    <t>Поповнення статутного фонду комунальних підприємств</t>
  </si>
  <si>
    <t>розвиток архівної справи</t>
  </si>
  <si>
    <t>культуру і мистецтво</t>
  </si>
  <si>
    <t>Капітальний ремонт будівель ДНЗ</t>
  </si>
  <si>
    <t>Розподіл видатків Волноваської міської ради на 2018 рік</t>
  </si>
  <si>
    <t>Доходи Волноваського міського бюджету на 2018 рік</t>
  </si>
  <si>
    <t>Джерела фінансування Волноваського міського  бюджету  на 2018 рік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</si>
  <si>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</si>
  <si>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 </t>
  </si>
  <si>
    <t>Надання дошкільної освіти</t>
  </si>
  <si>
    <t>1000</t>
  </si>
  <si>
    <t>Освіта</t>
  </si>
  <si>
    <t>0950</t>
  </si>
  <si>
    <t>Підвищення кваліфікації, перепідготовка кадрів закладами післядипломної  освіти</t>
  </si>
  <si>
    <t>0829</t>
  </si>
  <si>
    <t>Організація благоустрою населених пунктів</t>
  </si>
  <si>
    <t>Будівництво та регіональний розвиток</t>
  </si>
  <si>
    <t>Інші програми та заходи, пов'язані з економічною діяльністю</t>
  </si>
  <si>
    <t>Проведення експертної грошової оцінки земельної ділянки чи права на неї</t>
  </si>
  <si>
    <t>Експлуатація та технічне обслуговування житлового фонду</t>
  </si>
  <si>
    <t>Реалізація інших заходів щодо соціально-економічного розвитку територій</t>
  </si>
  <si>
    <t>0443</t>
  </si>
  <si>
    <t>Будівництво об'єктів житлово-комунального господарства</t>
  </si>
  <si>
    <t xml:space="preserve">Охорона навколишнього природного середовища </t>
  </si>
  <si>
    <t>0540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</si>
  <si>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</si>
  <si>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Інші заходи, пов'язані з економічною діяльністю</t>
  </si>
  <si>
    <t>Придбання житла для окремих категорій населення відповідно до законодавства</t>
  </si>
  <si>
    <t>Забезпечення діяльності палаців і будинків культури, клубів, центрів дозвілля та інших клубних закладів</t>
  </si>
  <si>
    <t>надання дошкільної освіти</t>
  </si>
  <si>
    <t>19343400</t>
  </si>
  <si>
    <t>5013600</t>
  </si>
  <si>
    <t>117400</t>
  </si>
  <si>
    <t>Будівництво інших обєктів соціальної та виробничої інфраструктури комунальної власності</t>
  </si>
  <si>
    <t>Будівництво освітніх установ та закладів</t>
  </si>
  <si>
    <t>Міжбюджетні трансферти   Волноваського міського  бюджету  місцевим/державному бюджетам  на 2018 рік</t>
  </si>
  <si>
    <r>
      <t>Перелік об’єктів, видатки на які у 2018  році будуть проводитися за рахунок коштів бюджету розвитку</t>
    </r>
    <r>
      <rPr>
        <b/>
        <vertAlign val="superscript"/>
        <sz val="14"/>
        <rFont val="Times New Roman"/>
        <family val="1"/>
        <charset val="204"/>
      </rPr>
      <t>1</t>
    </r>
  </si>
  <si>
    <t xml:space="preserve">реконструкцію вуличного освітлення  </t>
  </si>
  <si>
    <t>410000</t>
  </si>
  <si>
    <t>Інші дотації з місцевого бюджету</t>
  </si>
  <si>
    <t>Інші субвенції з місцевого бюджету</t>
  </si>
  <si>
    <t>Природоохоронні заходи за рахунок цільових фондів</t>
  </si>
  <si>
    <t>Субвенції з місцевих бюджетів іншим місцевим бюджетам</t>
  </si>
  <si>
    <t>Дотації з місцевих бюджетів іншим місцевим бюджетам</t>
  </si>
  <si>
    <t>Капітальний ремонт підвалу адмінбудівлі по вул. Центральній 88 п</t>
  </si>
  <si>
    <t xml:space="preserve">Капітальний ремонт будівлі Творчого центру молоді по вул. Шевченко 76 </t>
  </si>
  <si>
    <t>Капітальний ремонт доріг і тротуарів</t>
  </si>
  <si>
    <t>Придбання зупинок і дорожньої огорожі</t>
  </si>
  <si>
    <t>Реконструкція мережі вуличного освітлення</t>
  </si>
  <si>
    <t>Реконструкція адмінбудівлі по вул. Центральній 88</t>
  </si>
  <si>
    <t>Програма "Молодь. Сім'я. Діти" на 2018 рік (рішення міської ради від 21.12.2017 №6/99-2210 )</t>
  </si>
  <si>
    <t>Програма соціального захисту населення на 2018 рік (рішення міської ради від 21.12.2017 №6/99-2209)</t>
  </si>
  <si>
    <t>Програма сприяння діяльності співвласників багатоквартирних будинків на території м. Волноваха на 2018 рік(рішення міської ради від 21.12.2017 №6/99-2212)</t>
  </si>
  <si>
    <t>Програма "Земельна реформа м. Волноваха на 2018 рік" (рішення міської ради від 21.12.2017 №6/99- 2206)</t>
  </si>
  <si>
    <t xml:space="preserve">Інші  заходи у сфері соціального захисту і соціального забезпечення </t>
  </si>
  <si>
    <t>Забезпечення діяльності інших закладів в галузі культури і мистецтва</t>
  </si>
  <si>
    <t>Інші  заходи в галузі культури і мистецтва</t>
  </si>
  <si>
    <t>Сільське, лісове, рибне господарство та мисливство</t>
  </si>
  <si>
    <t>0421</t>
  </si>
  <si>
    <t>Здійснення заходів із землеустрою</t>
  </si>
  <si>
    <t>Розроблення схем планування та забудови територій (містобудівної документації)</t>
  </si>
  <si>
    <r>
      <t>Субвенція з місцевого бюджету державному бюджету на виконання програм соціально-економічного розвитку регіонів</t>
    </r>
    <r>
      <rPr>
        <b/>
        <sz val="10"/>
        <color indexed="10"/>
        <rFont val="Times New Roman"/>
        <family val="1"/>
        <charset val="204"/>
      </rPr>
      <t xml:space="preserve"> </t>
    </r>
  </si>
  <si>
    <t>Забезпечення діяльності водопровідно-каналізаційного господарства</t>
  </si>
  <si>
    <t xml:space="preserve">коригування проектно-кошторисної документації по проекту «Капітальний ремонт будівлі дитячого садку за адресою м. Волноваха вул. Менделєєва 19» </t>
  </si>
  <si>
    <t xml:space="preserve">Придбання з монтажем в’їзної  стели вздовж дороги Волноваха –Валер’янівка </t>
  </si>
  <si>
    <r>
      <t>Субвенція з місцевого бюджету державному бюджету на виконання програм соціально-економічного розвитку регіонів</t>
    </r>
    <r>
      <rPr>
        <sz val="10"/>
        <color indexed="10"/>
        <rFont val="Times New Roman"/>
        <family val="1"/>
        <charset val="204"/>
      </rPr>
      <t xml:space="preserve"> </t>
    </r>
  </si>
  <si>
    <t>Придбання оргтехніки для Волноваського районного військового комісаріату</t>
  </si>
  <si>
    <t>0511</t>
  </si>
  <si>
    <t>Охорона та раціональне використання природних ресурсів</t>
  </si>
  <si>
    <t>Впровадження засобів обліку витрат та регулювання споживання води та теплової енергії</t>
  </si>
  <si>
    <t>Придбання кондиціонера</t>
  </si>
  <si>
    <t>Капітальний ремонт водно-розподільних пристроїв теплопостачання з використанням вузлів комерційного обліку</t>
  </si>
  <si>
    <t>Придбання фотоапарату, ноутбуків, парової праски</t>
  </si>
  <si>
    <r>
      <t>Придбання системи відеоспостереження з монтажем і маршрутизатора, комп</t>
    </r>
    <r>
      <rPr>
        <sz val="10"/>
        <color indexed="8"/>
        <rFont val="Arial Cyr"/>
        <charset val="204"/>
      </rPr>
      <t>’</t>
    </r>
    <r>
      <rPr>
        <sz val="10"/>
        <color indexed="8"/>
        <rFont val="Times New Roman"/>
        <family val="1"/>
        <charset val="204"/>
      </rPr>
      <t>ютера, генератора,фотоаппарату, сейфів</t>
    </r>
  </si>
  <si>
    <t>Програма розвитку культури м. Волноваха на 2018 рік (рішення міської ради від 21.12.2017 №6/99- 2207, із змінами внесеними 11.05.2018 №6/104-2351)</t>
  </si>
  <si>
    <t>Программа розвитку фізичної культури та спорту в м. Волноваха на 2018 рік (рішення міської ради від 21.12.2017 №6/99-2208, із змінами внесеними 11.05.2018 №6/104-2352)</t>
  </si>
  <si>
    <t>Программа по плануванню та забудові території м. Волноваха на 2018 рік (рішення міської ради від 21.12.2017 №6/99-2205, із внесеними змінами 11.05.№6/104-2356)</t>
  </si>
  <si>
    <t>Програма розвитку житлово-комунального господарства м. Волноваха на 2018 рік (рішення міської ради від 21.12.2017 №6/99-2213, із внесеними змінами  04.04.2018 №6/102 - 2314)</t>
  </si>
  <si>
    <t>Програма з охорони та раціонального використання земель м. Волноваха на 2018 рік (рішення міської ради від 21.12.2017 №6/99- 2204, із внесеними змінами 23.02.18 №6/101-2295)</t>
  </si>
  <si>
    <t>Програма забезпечення мінімально достатнього рівня безпеки населення і території м. Волноваха  від  надзвичайних ситуацій техногенного та природного характеру на 2018 рік (рішення міської ради від 21.12.2017 №6/99-2214, із внесеними змінами 23.02.2018 №6/101-2298)</t>
  </si>
  <si>
    <t>Програма сприяння обороноздатності держави (рішення міської ради від 23.02.2018 №6/101-2296)</t>
  </si>
  <si>
    <t>Програма охорони навколишнього природного середовища м. Волноваха на 2018 рік (рішення міської ради від 21.12.2017 №6/99- 2215,  із внесеними змінами 04.04.2018 №6/102-2315)</t>
  </si>
  <si>
    <t>Програма оснащення комерційними вузлами обліку теплової енергії багатоквартирних будинків  м. Волноваха на 2018рік (рішення міської ради від 11.05.2018 №6/104-2357)</t>
  </si>
  <si>
    <t>Придбання спортивних тренажерів і дитячих ігрових майданчиків</t>
  </si>
  <si>
    <t>Программа Правопорядок 2018</t>
  </si>
  <si>
    <t>часткове відшкодування вартості путівок</t>
  </si>
  <si>
    <t>178640</t>
  </si>
  <si>
    <t>Програма економічного і соціального розвитку міста Волноваха на 2018 рік (рішення  міської ради від 21.12.2017 №6/99 -  із змінами, внесеними 20.07.2018 №6/106- )</t>
  </si>
  <si>
    <t xml:space="preserve">                             Додаток № 1
                             до рішення міської ради
                             від _____.2018 № 6/____-</t>
  </si>
  <si>
    <t xml:space="preserve">           Додаток № 3
           до рішення міської ради
           від _______.2018 № 6/____- </t>
  </si>
  <si>
    <t xml:space="preserve">                                                                         Додаток № 4
                                                                                         до рішення міської ради
                                                                                         від ______.2018 № 6/____- </t>
  </si>
  <si>
    <t>1506776</t>
  </si>
  <si>
    <t>будівництво господарської будівлі на територіїї дитячого садка №8 та придбання обладнання для зазначеного дитячого садку</t>
  </si>
  <si>
    <t xml:space="preserve">        Додаток № 5
                          до рішення міської  ради
                             від  ______.2018 № 6/____-</t>
  </si>
  <si>
    <t>Будівництво господарської будівлі на території дитячого садка №8</t>
  </si>
  <si>
    <t>Придбання  тіньових навісів, оборудовання (холодильників, електроплит, принтера, фортепіано, синтезатора, пилососа, килима, оверлога) для ДНЗ</t>
  </si>
  <si>
    <t xml:space="preserve">  Додаток № 6
  до рішення  міської  ради
  від _____.2018 №6/____- </t>
  </si>
  <si>
    <t xml:space="preserve">                                         Додаток № 2
                                         до рішення міської  ради
                                         від _____.2018 №6/____- </t>
  </si>
  <si>
    <t>0</t>
  </si>
  <si>
    <r>
      <t>Перелік місцевих (регіональних) програм, які фінансуватимуться за рахунок коштів  міського бюджету  у  2018 році</t>
    </r>
    <r>
      <rPr>
        <b/>
        <sz val="14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</si>
</sst>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9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b/>
      <sz val="1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 CYR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 CYR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b/>
      <sz val="12"/>
      <name val="Times New Roman CYR"/>
    </font>
    <font>
      <vertAlign val="superscript"/>
      <sz val="8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trike/>
      <vertAlign val="superscript"/>
      <sz val="8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8"/>
      <name val="Arial Cyr"/>
      <charset val="204"/>
    </font>
    <font>
      <sz val="10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25" fillId="0" borderId="0"/>
    <xf numFmtId="0" fontId="26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7" fillId="7" borderId="1" applyNumberFormat="0" applyAlignment="0" applyProtection="0"/>
    <xf numFmtId="0" fontId="8" fillId="22" borderId="2" applyNumberFormat="0" applyAlignment="0" applyProtection="0"/>
    <xf numFmtId="0" fontId="16" fillId="22" borderId="1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4" fillId="0" borderId="0">
      <alignment vertical="top"/>
    </xf>
    <xf numFmtId="0" fontId="12" fillId="0" borderId="3" applyNumberFormat="0" applyFill="0" applyAlignment="0" applyProtection="0"/>
    <xf numFmtId="0" fontId="10" fillId="23" borderId="4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25" fillId="0" borderId="0"/>
    <xf numFmtId="0" fontId="6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4" fillId="10" borderId="5" applyNumberFormat="0" applyFont="0" applyAlignment="0" applyProtection="0"/>
    <xf numFmtId="0" fontId="19" fillId="0" borderId="6" applyNumberFormat="0" applyFill="0" applyAlignment="0" applyProtection="0"/>
    <xf numFmtId="0" fontId="24" fillId="0" borderId="0"/>
    <xf numFmtId="0" fontId="9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7" fillId="25" borderId="0" applyNumberFormat="0" applyBorder="0" applyAlignment="0" applyProtection="0"/>
    <xf numFmtId="0" fontId="77" fillId="31" borderId="0" applyNumberFormat="0" applyBorder="0" applyAlignment="0" applyProtection="0"/>
    <xf numFmtId="0" fontId="78" fillId="37" borderId="0" applyNumberFormat="0" applyBorder="0" applyAlignment="0" applyProtection="0"/>
    <xf numFmtId="0" fontId="77" fillId="26" borderId="0" applyNumberFormat="0" applyBorder="0" applyAlignment="0" applyProtection="0"/>
    <xf numFmtId="0" fontId="77" fillId="32" borderId="0" applyNumberFormat="0" applyBorder="0" applyAlignment="0" applyProtection="0"/>
    <xf numFmtId="0" fontId="78" fillId="38" borderId="0" applyNumberFormat="0" applyBorder="0" applyAlignment="0" applyProtection="0"/>
    <xf numFmtId="0" fontId="77" fillId="27" borderId="0" applyNumberFormat="0" applyBorder="0" applyAlignment="0" applyProtection="0"/>
    <xf numFmtId="0" fontId="77" fillId="33" borderId="0" applyNumberFormat="0" applyBorder="0" applyAlignment="0" applyProtection="0"/>
    <xf numFmtId="0" fontId="78" fillId="39" borderId="0" applyNumberFormat="0" applyBorder="0" applyAlignment="0" applyProtection="0"/>
    <xf numFmtId="0" fontId="77" fillId="28" borderId="0" applyNumberFormat="0" applyBorder="0" applyAlignment="0" applyProtection="0"/>
    <xf numFmtId="0" fontId="77" fillId="34" borderId="0" applyNumberFormat="0" applyBorder="0" applyAlignment="0" applyProtection="0"/>
    <xf numFmtId="0" fontId="78" fillId="40" borderId="0" applyNumberFormat="0" applyBorder="0" applyAlignment="0" applyProtection="0"/>
    <xf numFmtId="0" fontId="77" fillId="29" borderId="0" applyNumberFormat="0" applyBorder="0" applyAlignment="0" applyProtection="0"/>
    <xf numFmtId="0" fontId="77" fillId="35" borderId="0" applyNumberFormat="0" applyBorder="0" applyAlignment="0" applyProtection="0"/>
    <xf numFmtId="0" fontId="78" fillId="41" borderId="0" applyNumberFormat="0" applyBorder="0" applyAlignment="0" applyProtection="0"/>
    <xf numFmtId="0" fontId="77" fillId="30" borderId="0" applyNumberFormat="0" applyBorder="0" applyAlignment="0" applyProtection="0"/>
    <xf numFmtId="0" fontId="77" fillId="36" borderId="0" applyNumberFormat="0" applyBorder="0" applyAlignment="0" applyProtection="0"/>
    <xf numFmtId="0" fontId="78" fillId="42" borderId="0" applyNumberFormat="0" applyBorder="0" applyAlignment="0" applyProtection="0"/>
  </cellStyleXfs>
  <cellXfs count="279">
    <xf numFmtId="0" fontId="0" fillId="0" borderId="0" xfId="0"/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0" fontId="0" fillId="0" borderId="0" xfId="0" applyFill="1"/>
    <xf numFmtId="0" fontId="15" fillId="0" borderId="0" xfId="0" applyFont="1" applyFill="1"/>
    <xf numFmtId="0" fontId="15" fillId="0" borderId="0" xfId="0" applyNumberFormat="1" applyFont="1" applyFill="1" applyAlignment="1" applyProtection="1"/>
    <xf numFmtId="0" fontId="15" fillId="0" borderId="7" xfId="0" applyFont="1" applyFill="1" applyBorder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15" fillId="0" borderId="0" xfId="0" applyFont="1" applyFill="1" applyAlignment="1">
      <alignment horizontal="center"/>
    </xf>
    <xf numFmtId="0" fontId="4" fillId="0" borderId="7" xfId="0" applyNumberFormat="1" applyFont="1" applyFill="1" applyBorder="1" applyAlignment="1" applyProtection="1">
      <alignment horizontal="center" vertical="top"/>
    </xf>
    <xf numFmtId="0" fontId="32" fillId="0" borderId="8" xfId="20" applyFont="1" applyBorder="1" applyAlignment="1">
      <alignment horizontal="right"/>
    </xf>
    <xf numFmtId="0" fontId="32" fillId="0" borderId="8" xfId="20" applyFont="1" applyBorder="1" applyAlignment="1">
      <alignment horizontal="right" wrapText="1"/>
    </xf>
    <xf numFmtId="0" fontId="28" fillId="0" borderId="0" xfId="0" applyFont="1"/>
    <xf numFmtId="0" fontId="3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right"/>
    </xf>
    <xf numFmtId="0" fontId="0" fillId="0" borderId="0" xfId="0" applyFont="1"/>
    <xf numFmtId="0" fontId="22" fillId="0" borderId="8" xfId="0" applyFont="1" applyBorder="1"/>
    <xf numFmtId="0" fontId="35" fillId="0" borderId="0" xfId="0" applyFont="1" applyBorder="1" applyAlignment="1">
      <alignment horizontal="right"/>
    </xf>
    <xf numFmtId="0" fontId="0" fillId="24" borderId="0" xfId="0" applyFont="1" applyFill="1"/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 wrapText="1"/>
    </xf>
    <xf numFmtId="0" fontId="39" fillId="0" borderId="8" xfId="0" applyFont="1" applyBorder="1" applyAlignment="1">
      <alignment horizontal="right"/>
    </xf>
    <xf numFmtId="0" fontId="41" fillId="0" borderId="8" xfId="0" applyFont="1" applyBorder="1" applyAlignment="1">
      <alignment horizontal="right"/>
    </xf>
    <xf numFmtId="0" fontId="22" fillId="0" borderId="0" xfId="0" applyFont="1"/>
    <xf numFmtId="0" fontId="0" fillId="0" borderId="0" xfId="0" applyFont="1" applyBorder="1"/>
    <xf numFmtId="2" fontId="0" fillId="0" borderId="0" xfId="0" applyNumberFormat="1" applyFont="1"/>
    <xf numFmtId="2" fontId="35" fillId="0" borderId="0" xfId="0" applyNumberFormat="1" applyFont="1" applyBorder="1" applyAlignment="1">
      <alignment horizontal="right"/>
    </xf>
    <xf numFmtId="2" fontId="0" fillId="0" borderId="0" xfId="0" applyNumberFormat="1" applyFont="1" applyBorder="1"/>
    <xf numFmtId="0" fontId="36" fillId="0" borderId="9" xfId="0" applyFont="1" applyBorder="1" applyAlignment="1">
      <alignment horizontal="center"/>
    </xf>
    <xf numFmtId="0" fontId="15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>
      <alignment vertical="center"/>
    </xf>
    <xf numFmtId="0" fontId="21" fillId="0" borderId="0" xfId="0" applyNumberFormat="1" applyFont="1" applyFill="1" applyAlignment="1" applyProtection="1"/>
    <xf numFmtId="0" fontId="21" fillId="0" borderId="0" xfId="0" applyFont="1" applyFill="1"/>
    <xf numFmtId="0" fontId="0" fillId="0" borderId="0" xfId="0" applyFont="1" applyFill="1" applyAlignment="1" applyProtection="1"/>
    <xf numFmtId="0" fontId="1" fillId="0" borderId="0" xfId="0" applyNumberFormat="1" applyFont="1" applyFill="1" applyAlignment="1" applyProtection="1">
      <alignment vertical="top"/>
    </xf>
    <xf numFmtId="0" fontId="0" fillId="0" borderId="0" xfId="0" applyFill="1" applyAlignment="1">
      <alignment vertical="top"/>
    </xf>
    <xf numFmtId="0" fontId="22" fillId="0" borderId="0" xfId="0" applyNumberFormat="1" applyFont="1" applyFill="1" applyAlignment="1" applyProtection="1">
      <alignment vertical="top"/>
    </xf>
    <xf numFmtId="0" fontId="22" fillId="0" borderId="0" xfId="0" applyFont="1" applyFill="1" applyAlignment="1">
      <alignment vertical="top"/>
    </xf>
    <xf numFmtId="0" fontId="1" fillId="0" borderId="0" xfId="0" applyFont="1" applyFill="1"/>
    <xf numFmtId="0" fontId="49" fillId="0" borderId="0" xfId="0" applyNumberFormat="1" applyFont="1" applyFill="1" applyAlignment="1" applyProtection="1"/>
    <xf numFmtId="0" fontId="49" fillId="0" borderId="0" xfId="0" applyFont="1" applyFill="1"/>
    <xf numFmtId="0" fontId="49" fillId="0" borderId="0" xfId="0" applyFont="1"/>
    <xf numFmtId="0" fontId="53" fillId="0" borderId="0" xfId="0" applyNumberFormat="1" applyFont="1" applyFill="1" applyAlignment="1" applyProtection="1"/>
    <xf numFmtId="0" fontId="53" fillId="0" borderId="0" xfId="0" applyFont="1" applyFill="1"/>
    <xf numFmtId="0" fontId="32" fillId="0" borderId="10" xfId="20" applyFont="1" applyBorder="1" applyAlignment="1">
      <alignment horizontal="center"/>
    </xf>
    <xf numFmtId="0" fontId="40" fillId="0" borderId="8" xfId="0" applyFont="1" applyBorder="1" applyAlignment="1">
      <alignment vertical="center" wrapText="1"/>
    </xf>
    <xf numFmtId="49" fontId="31" fillId="24" borderId="8" xfId="0" applyNumberFormat="1" applyFont="1" applyFill="1" applyBorder="1" applyAlignment="1">
      <alignment horizontal="right" wrapText="1"/>
    </xf>
    <xf numFmtId="0" fontId="0" fillId="24" borderId="0" xfId="0" applyFont="1" applyFill="1" applyBorder="1"/>
    <xf numFmtId="0" fontId="47" fillId="0" borderId="8" xfId="0" applyNumberFormat="1" applyFont="1" applyFill="1" applyBorder="1" applyAlignment="1" applyProtection="1">
      <alignment horizontal="center" vertical="center" wrapText="1"/>
    </xf>
    <xf numFmtId="0" fontId="47" fillId="0" borderId="8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22" fillId="0" borderId="0" xfId="0" applyNumberFormat="1" applyFont="1" applyFill="1" applyAlignment="1" applyProtection="1">
      <alignment wrapText="1"/>
    </xf>
    <xf numFmtId="0" fontId="22" fillId="0" borderId="0" xfId="0" applyFont="1" applyFill="1" applyAlignment="1">
      <alignment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34" fillId="0" borderId="8" xfId="0" applyNumberFormat="1" applyFont="1" applyFill="1" applyBorder="1" applyAlignment="1" applyProtection="1">
      <alignment horizontal="center" vertical="center" wrapText="1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Alignment="1" applyProtection="1">
      <alignment wrapText="1"/>
    </xf>
    <xf numFmtId="0" fontId="34" fillId="0" borderId="0" xfId="0" applyFont="1" applyFill="1" applyAlignment="1">
      <alignment wrapText="1"/>
    </xf>
    <xf numFmtId="0" fontId="47" fillId="0" borderId="8" xfId="0" applyNumberFormat="1" applyFont="1" applyFill="1" applyBorder="1" applyAlignment="1" applyProtection="1">
      <alignment vertical="center"/>
    </xf>
    <xf numFmtId="0" fontId="23" fillId="0" borderId="8" xfId="0" applyNumberFormat="1" applyFont="1" applyFill="1" applyBorder="1" applyAlignment="1" applyProtection="1">
      <alignment vertical="center"/>
    </xf>
    <xf numFmtId="0" fontId="32" fillId="0" borderId="8" xfId="0" applyNumberFormat="1" applyFont="1" applyFill="1" applyBorder="1" applyAlignment="1" applyProtection="1">
      <alignment horizontal="left" vertical="top"/>
    </xf>
    <xf numFmtId="0" fontId="55" fillId="0" borderId="8" xfId="0" applyNumberFormat="1" applyFont="1" applyFill="1" applyBorder="1" applyAlignment="1" applyProtection="1">
      <alignment horizontal="left" vertical="top"/>
    </xf>
    <xf numFmtId="0" fontId="55" fillId="0" borderId="8" xfId="0" applyNumberFormat="1" applyFont="1" applyFill="1" applyBorder="1" applyAlignment="1" applyProtection="1">
      <alignment vertical="top" wrapText="1"/>
    </xf>
    <xf numFmtId="0" fontId="34" fillId="0" borderId="8" xfId="0" applyNumberFormat="1" applyFont="1" applyFill="1" applyBorder="1" applyAlignment="1" applyProtection="1">
      <alignment horizontal="left" vertical="top"/>
    </xf>
    <xf numFmtId="0" fontId="34" fillId="0" borderId="8" xfId="0" applyNumberFormat="1" applyFont="1" applyFill="1" applyBorder="1" applyAlignment="1" applyProtection="1">
      <alignment vertical="top" wrapText="1"/>
    </xf>
    <xf numFmtId="0" fontId="2" fillId="0" borderId="7" xfId="0" applyNumberFormat="1" applyFont="1" applyFill="1" applyBorder="1" applyAlignment="1" applyProtection="1">
      <alignment vertical="center"/>
    </xf>
    <xf numFmtId="0" fontId="32" fillId="0" borderId="8" xfId="0" applyNumberFormat="1" applyFont="1" applyFill="1" applyBorder="1" applyAlignment="1" applyProtection="1">
      <alignment vertical="top" wrapText="1"/>
    </xf>
    <xf numFmtId="0" fontId="56" fillId="0" borderId="7" xfId="0" applyNumberFormat="1" applyFont="1" applyFill="1" applyBorder="1" applyAlignment="1" applyProtection="1">
      <alignment horizontal="right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justify" vertical="center" wrapText="1"/>
    </xf>
    <xf numFmtId="164" fontId="50" fillId="0" borderId="8" xfId="49" applyNumberFormat="1" applyFont="1" applyBorder="1" applyAlignment="1">
      <alignment vertical="center"/>
    </xf>
    <xf numFmtId="164" fontId="50" fillId="0" borderId="8" xfId="49" applyNumberFormat="1" applyFont="1" applyBorder="1">
      <alignment vertical="top"/>
    </xf>
    <xf numFmtId="0" fontId="34" fillId="0" borderId="8" xfId="0" applyFont="1" applyBorder="1" applyAlignment="1">
      <alignment horizontal="center" vertical="center" wrapText="1"/>
    </xf>
    <xf numFmtId="164" fontId="51" fillId="0" borderId="8" xfId="49" applyNumberFormat="1" applyFont="1" applyBorder="1">
      <alignment vertical="top"/>
    </xf>
    <xf numFmtId="164" fontId="43" fillId="0" borderId="8" xfId="0" applyNumberFormat="1" applyFont="1" applyBorder="1" applyAlignment="1">
      <alignment vertical="justify"/>
    </xf>
    <xf numFmtId="0" fontId="22" fillId="0" borderId="0" xfId="0" applyNumberFormat="1" applyFont="1" applyFill="1" applyAlignment="1" applyProtection="1"/>
    <xf numFmtId="0" fontId="22" fillId="0" borderId="7" xfId="0" applyFont="1" applyFill="1" applyBorder="1" applyAlignment="1">
      <alignment horizontal="center"/>
    </xf>
    <xf numFmtId="49" fontId="32" fillId="0" borderId="8" xfId="0" applyNumberFormat="1" applyFont="1" applyBorder="1" applyAlignment="1">
      <alignment horizontal="center" vertical="center" wrapText="1"/>
    </xf>
    <xf numFmtId="49" fontId="34" fillId="0" borderId="8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60" fillId="0" borderId="8" xfId="0" applyFont="1" applyBorder="1" applyAlignment="1">
      <alignment horizontal="right"/>
    </xf>
    <xf numFmtId="0" fontId="23" fillId="0" borderId="8" xfId="20" applyFont="1" applyBorder="1" applyAlignment="1">
      <alignment horizontal="right"/>
    </xf>
    <xf numFmtId="0" fontId="23" fillId="0" borderId="10" xfId="20" applyFont="1" applyBorder="1" applyAlignment="1">
      <alignment horizontal="center"/>
    </xf>
    <xf numFmtId="0" fontId="29" fillId="0" borderId="0" xfId="0" applyFont="1"/>
    <xf numFmtId="0" fontId="44" fillId="0" borderId="8" xfId="0" applyFont="1" applyBorder="1" applyAlignment="1">
      <alignment wrapText="1"/>
    </xf>
    <xf numFmtId="0" fontId="31" fillId="0" borderId="8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3" fillId="0" borderId="8" xfId="0" applyNumberFormat="1" applyFont="1" applyFill="1" applyBorder="1" applyAlignment="1" applyProtection="1">
      <alignment vertical="center" wrapText="1"/>
    </xf>
    <xf numFmtId="0" fontId="22" fillId="0" borderId="0" xfId="0" applyFont="1" applyFill="1"/>
    <xf numFmtId="0" fontId="32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15" fillId="24" borderId="0" xfId="0" applyNumberFormat="1" applyFont="1" applyFill="1" applyAlignment="1" applyProtection="1"/>
    <xf numFmtId="0" fontId="15" fillId="24" borderId="0" xfId="0" applyFont="1" applyFill="1"/>
    <xf numFmtId="0" fontId="15" fillId="24" borderId="12" xfId="0" applyNumberFormat="1" applyFont="1" applyFill="1" applyBorder="1" applyAlignment="1" applyProtection="1"/>
    <xf numFmtId="0" fontId="22" fillId="24" borderId="8" xfId="0" applyNumberFormat="1" applyFont="1" applyFill="1" applyBorder="1" applyAlignment="1" applyProtection="1">
      <alignment horizontal="center" vertical="center" wrapText="1"/>
    </xf>
    <xf numFmtId="0" fontId="15" fillId="24" borderId="13" xfId="0" applyNumberFormat="1" applyFont="1" applyFill="1" applyBorder="1" applyAlignment="1" applyProtection="1"/>
    <xf numFmtId="0" fontId="15" fillId="24" borderId="14" xfId="0" applyNumberFormat="1" applyFont="1" applyFill="1" applyBorder="1" applyAlignment="1" applyProtection="1"/>
    <xf numFmtId="0" fontId="15" fillId="24" borderId="0" xfId="0" applyNumberFormat="1" applyFont="1" applyFill="1" applyBorder="1" applyAlignment="1" applyProtection="1"/>
    <xf numFmtId="0" fontId="15" fillId="24" borderId="0" xfId="0" applyNumberFormat="1" applyFont="1" applyFill="1" applyAlignment="1" applyProtection="1">
      <alignment vertical="center"/>
    </xf>
    <xf numFmtId="49" fontId="32" fillId="24" borderId="8" xfId="0" applyNumberFormat="1" applyFont="1" applyFill="1" applyBorder="1" applyAlignment="1">
      <alignment horizontal="center" vertical="center" wrapText="1"/>
    </xf>
    <xf numFmtId="0" fontId="32" fillId="24" borderId="8" xfId="0" applyFont="1" applyFill="1" applyBorder="1" applyAlignment="1">
      <alignment horizontal="justify" vertical="center" wrapText="1"/>
    </xf>
    <xf numFmtId="0" fontId="15" fillId="24" borderId="0" xfId="0" applyFont="1" applyFill="1" applyAlignment="1">
      <alignment vertical="center"/>
    </xf>
    <xf numFmtId="0" fontId="34" fillId="24" borderId="8" xfId="0" applyFont="1" applyFill="1" applyBorder="1" applyAlignment="1">
      <alignment vertical="center" wrapText="1"/>
    </xf>
    <xf numFmtId="0" fontId="58" fillId="0" borderId="8" xfId="0" applyNumberFormat="1" applyFont="1" applyFill="1" applyBorder="1" applyAlignment="1" applyProtection="1">
      <alignment horizontal="center" vertical="center" wrapText="1"/>
    </xf>
    <xf numFmtId="0" fontId="58" fillId="0" borderId="8" xfId="0" applyNumberFormat="1" applyFont="1" applyFill="1" applyBorder="1" applyAlignment="1" applyProtection="1">
      <alignment vertical="center" wrapText="1"/>
    </xf>
    <xf numFmtId="0" fontId="21" fillId="0" borderId="8" xfId="0" applyNumberFormat="1" applyFont="1" applyFill="1" applyBorder="1" applyAlignment="1" applyProtection="1">
      <alignment vertical="center" wrapText="1"/>
    </xf>
    <xf numFmtId="0" fontId="32" fillId="0" borderId="8" xfId="0" applyNumberFormat="1" applyFont="1" applyFill="1" applyBorder="1" applyAlignment="1" applyProtection="1">
      <alignment vertical="center" wrapText="1"/>
    </xf>
    <xf numFmtId="0" fontId="55" fillId="0" borderId="8" xfId="0" applyNumberFormat="1" applyFont="1" applyFill="1" applyBorder="1" applyAlignment="1" applyProtection="1">
      <alignment horizontal="center" vertical="center" wrapText="1"/>
    </xf>
    <xf numFmtId="0" fontId="67" fillId="0" borderId="8" xfId="0" applyNumberFormat="1" applyFont="1" applyFill="1" applyBorder="1" applyAlignment="1" applyProtection="1">
      <alignment vertical="center" wrapText="1"/>
    </xf>
    <xf numFmtId="0" fontId="21" fillId="0" borderId="0" xfId="0" applyFont="1" applyAlignment="1">
      <alignment wrapText="1"/>
    </xf>
    <xf numFmtId="0" fontId="21" fillId="0" borderId="8" xfId="0" applyFont="1" applyBorder="1" applyAlignment="1">
      <alignment wrapText="1"/>
    </xf>
    <xf numFmtId="0" fontId="21" fillId="0" borderId="8" xfId="0" applyFont="1" applyBorder="1"/>
    <xf numFmtId="0" fontId="67" fillId="0" borderId="8" xfId="0" applyFont="1" applyBorder="1"/>
    <xf numFmtId="3" fontId="32" fillId="0" borderId="8" xfId="0" applyNumberFormat="1" applyFont="1" applyFill="1" applyBorder="1" applyAlignment="1" applyProtection="1">
      <alignment horizontal="right" vertical="center" wrapText="1"/>
    </xf>
    <xf numFmtId="3" fontId="48" fillId="0" borderId="8" xfId="0" applyNumberFormat="1" applyFont="1" applyBorder="1" applyAlignment="1">
      <alignment vertical="center" wrapText="1"/>
    </xf>
    <xf numFmtId="3" fontId="34" fillId="0" borderId="8" xfId="0" applyNumberFormat="1" applyFont="1" applyFill="1" applyBorder="1" applyAlignment="1" applyProtection="1">
      <alignment horizontal="right" vertical="center" wrapText="1"/>
    </xf>
    <xf numFmtId="3" fontId="42" fillId="0" borderId="8" xfId="0" applyNumberFormat="1" applyFont="1" applyBorder="1" applyAlignment="1">
      <alignment vertical="center" wrapText="1"/>
    </xf>
    <xf numFmtId="3" fontId="58" fillId="0" borderId="8" xfId="0" applyNumberFormat="1" applyFont="1" applyFill="1" applyBorder="1" applyAlignment="1" applyProtection="1">
      <alignment horizontal="right" vertical="center" wrapText="1"/>
    </xf>
    <xf numFmtId="3" fontId="66" fillId="0" borderId="8" xfId="0" applyNumberFormat="1" applyFont="1" applyBorder="1" applyAlignment="1">
      <alignment vertical="center" wrapText="1"/>
    </xf>
    <xf numFmtId="3" fontId="50" fillId="0" borderId="8" xfId="0" applyNumberFormat="1" applyFont="1" applyBorder="1" applyAlignment="1">
      <alignment vertical="center" wrapText="1"/>
    </xf>
    <xf numFmtId="3" fontId="1" fillId="0" borderId="8" xfId="0" applyNumberFormat="1" applyFont="1" applyFill="1" applyBorder="1" applyAlignment="1" applyProtection="1">
      <alignment horizontal="right" vertical="center" wrapText="1"/>
    </xf>
    <xf numFmtId="3" fontId="69" fillId="0" borderId="8" xfId="0" applyNumberFormat="1" applyFont="1" applyFill="1" applyBorder="1" applyAlignment="1" applyProtection="1">
      <alignment horizontal="right" vertical="center" wrapText="1"/>
    </xf>
    <xf numFmtId="3" fontId="52" fillId="0" borderId="8" xfId="0" applyNumberFormat="1" applyFont="1" applyBorder="1" applyAlignment="1">
      <alignment vertical="center" wrapText="1"/>
    </xf>
    <xf numFmtId="3" fontId="50" fillId="24" borderId="8" xfId="49" applyNumberFormat="1" applyFont="1" applyFill="1" applyBorder="1">
      <alignment vertical="top"/>
    </xf>
    <xf numFmtId="3" fontId="15" fillId="24" borderId="0" xfId="0" applyNumberFormat="1" applyFont="1" applyFill="1"/>
    <xf numFmtId="3" fontId="50" fillId="24" borderId="8" xfId="49" applyNumberFormat="1" applyFont="1" applyFill="1" applyBorder="1" applyAlignment="1">
      <alignment vertical="center"/>
    </xf>
    <xf numFmtId="0" fontId="44" fillId="0" borderId="0" xfId="0" applyFont="1"/>
    <xf numFmtId="0" fontId="44" fillId="24" borderId="0" xfId="0" applyFont="1" applyFill="1"/>
    <xf numFmtId="3" fontId="51" fillId="0" borderId="8" xfId="49" applyNumberFormat="1" applyFont="1" applyBorder="1">
      <alignment vertical="top"/>
    </xf>
    <xf numFmtId="0" fontId="34" fillId="24" borderId="8" xfId="0" applyFont="1" applyFill="1" applyBorder="1" applyAlignment="1">
      <alignment horizontal="justify" vertical="center" wrapText="1"/>
    </xf>
    <xf numFmtId="164" fontId="51" fillId="0" borderId="8" xfId="49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49" fontId="44" fillId="24" borderId="8" xfId="0" applyNumberFormat="1" applyFont="1" applyFill="1" applyBorder="1" applyAlignment="1">
      <alignment wrapText="1"/>
    </xf>
    <xf numFmtId="49" fontId="34" fillId="0" borderId="8" xfId="0" applyNumberFormat="1" applyFont="1" applyFill="1" applyBorder="1" applyAlignment="1">
      <alignment horizontal="center" vertical="center" wrapText="1"/>
    </xf>
    <xf numFmtId="164" fontId="43" fillId="0" borderId="8" xfId="0" applyNumberFormat="1" applyFont="1" applyBorder="1" applyAlignment="1">
      <alignment vertical="justify" wrapText="1"/>
    </xf>
    <xf numFmtId="164" fontId="51" fillId="0" borderId="15" xfId="49" applyNumberFormat="1" applyFont="1" applyBorder="1" applyAlignment="1">
      <alignment vertical="center" wrapText="1"/>
    </xf>
    <xf numFmtId="3" fontId="50" fillId="0" borderId="8" xfId="0" applyNumberFormat="1" applyFont="1" applyBorder="1" applyAlignment="1">
      <alignment vertical="justify"/>
    </xf>
    <xf numFmtId="0" fontId="20" fillId="0" borderId="14" xfId="0" applyNumberFormat="1" applyFont="1" applyFill="1" applyBorder="1" applyAlignment="1" applyProtection="1">
      <alignment vertical="center" wrapText="1"/>
    </xf>
    <xf numFmtId="49" fontId="44" fillId="24" borderId="8" xfId="0" applyNumberFormat="1" applyFont="1" applyFill="1" applyBorder="1" applyAlignment="1">
      <alignment horizontal="right" wrapText="1"/>
    </xf>
    <xf numFmtId="0" fontId="44" fillId="0" borderId="0" xfId="0" applyNumberFormat="1" applyFont="1" applyFill="1" applyAlignment="1" applyProtection="1"/>
    <xf numFmtId="3" fontId="48" fillId="0" borderId="8" xfId="0" applyNumberFormat="1" applyFont="1" applyBorder="1" applyAlignment="1">
      <alignment vertical="center"/>
    </xf>
    <xf numFmtId="3" fontId="48" fillId="0" borderId="8" xfId="0" applyNumberFormat="1" applyFont="1" applyBorder="1" applyAlignment="1">
      <alignment vertical="top" wrapText="1"/>
    </xf>
    <xf numFmtId="3" fontId="57" fillId="0" borderId="8" xfId="0" applyNumberFormat="1" applyFont="1" applyBorder="1" applyAlignment="1">
      <alignment vertical="top" wrapText="1"/>
    </xf>
    <xf numFmtId="3" fontId="34" fillId="0" borderId="8" xfId="0" applyNumberFormat="1" applyFont="1" applyFill="1" applyBorder="1" applyAlignment="1" applyProtection="1">
      <alignment vertical="top"/>
    </xf>
    <xf numFmtId="3" fontId="47" fillId="0" borderId="8" xfId="0" applyNumberFormat="1" applyFont="1" applyFill="1" applyBorder="1" applyAlignment="1" applyProtection="1">
      <alignment horizontal="right" vertical="center"/>
    </xf>
    <xf numFmtId="3" fontId="42" fillId="0" borderId="8" xfId="0" applyNumberFormat="1" applyFont="1" applyBorder="1" applyAlignment="1">
      <alignment vertical="top" wrapText="1"/>
    </xf>
    <xf numFmtId="3" fontId="34" fillId="0" borderId="8" xfId="0" applyNumberFormat="1" applyFont="1" applyFill="1" applyBorder="1" applyAlignment="1" applyProtection="1">
      <alignment horizontal="right" vertical="center"/>
    </xf>
    <xf numFmtId="3" fontId="51" fillId="0" borderId="8" xfId="49" applyNumberFormat="1" applyFont="1" applyFill="1" applyBorder="1">
      <alignment vertical="top"/>
    </xf>
    <xf numFmtId="3" fontId="50" fillId="0" borderId="8" xfId="49" applyNumberFormat="1" applyFont="1" applyBorder="1" applyAlignment="1">
      <alignment vertical="center"/>
    </xf>
    <xf numFmtId="3" fontId="50" fillId="0" borderId="8" xfId="49" applyNumberFormat="1" applyFont="1" applyBorder="1">
      <alignment vertical="top"/>
    </xf>
    <xf numFmtId="3" fontId="50" fillId="0" borderId="8" xfId="49" applyNumberFormat="1" applyFont="1" applyFill="1" applyBorder="1">
      <alignment vertical="top"/>
    </xf>
    <xf numFmtId="49" fontId="4" fillId="24" borderId="8" xfId="0" applyNumberFormat="1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3" fontId="15" fillId="0" borderId="0" xfId="0" applyNumberFormat="1" applyFont="1" applyFill="1" applyAlignment="1" applyProtection="1"/>
    <xf numFmtId="0" fontId="1" fillId="0" borderId="8" xfId="0" applyFont="1" applyBorder="1" applyAlignment="1">
      <alignment vertical="center" wrapText="1"/>
    </xf>
    <xf numFmtId="164" fontId="51" fillId="0" borderId="8" xfId="49" applyNumberFormat="1" applyFont="1" applyBorder="1" applyAlignment="1">
      <alignment vertical="center" wrapText="1"/>
    </xf>
    <xf numFmtId="0" fontId="34" fillId="0" borderId="8" xfId="0" applyNumberFormat="1" applyFont="1" applyFill="1" applyBorder="1" applyAlignment="1" applyProtection="1">
      <alignment vertical="center" wrapText="1"/>
    </xf>
    <xf numFmtId="49" fontId="4" fillId="24" borderId="8" xfId="0" applyNumberFormat="1" applyFont="1" applyFill="1" applyBorder="1" applyAlignment="1">
      <alignment horizontal="right" wrapText="1"/>
    </xf>
    <xf numFmtId="3" fontId="51" fillId="0" borderId="8" xfId="49" applyNumberFormat="1" applyFont="1" applyBorder="1" applyAlignment="1">
      <alignment vertical="center"/>
    </xf>
    <xf numFmtId="3" fontId="51" fillId="0" borderId="8" xfId="49" applyNumberFormat="1" applyFont="1" applyFill="1" applyBorder="1" applyAlignment="1">
      <alignment vertical="center"/>
    </xf>
    <xf numFmtId="3" fontId="50" fillId="0" borderId="8" xfId="0" applyNumberFormat="1" applyFont="1" applyBorder="1" applyAlignment="1">
      <alignment vertical="center"/>
    </xf>
    <xf numFmtId="3" fontId="51" fillId="0" borderId="0" xfId="49" applyNumberFormat="1" applyFont="1" applyFill="1" applyBorder="1">
      <alignment vertical="top"/>
    </xf>
    <xf numFmtId="0" fontId="34" fillId="0" borderId="8" xfId="0" applyFont="1" applyBorder="1" applyAlignment="1">
      <alignment vertical="center" wrapText="1"/>
    </xf>
    <xf numFmtId="0" fontId="58" fillId="24" borderId="8" xfId="0" applyNumberFormat="1" applyFont="1" applyFill="1" applyBorder="1" applyAlignment="1" applyProtection="1">
      <alignment horizontal="center" vertical="center" wrapText="1"/>
    </xf>
    <xf numFmtId="3" fontId="58" fillId="24" borderId="8" xfId="0" applyNumberFormat="1" applyFont="1" applyFill="1" applyBorder="1" applyAlignment="1" applyProtection="1">
      <alignment horizontal="right" vertical="center" wrapText="1"/>
    </xf>
    <xf numFmtId="0" fontId="34" fillId="24" borderId="8" xfId="0" applyNumberFormat="1" applyFont="1" applyFill="1" applyBorder="1" applyAlignment="1" applyProtection="1">
      <alignment horizontal="center" vertical="center" wrapText="1"/>
    </xf>
    <xf numFmtId="3" fontId="34" fillId="24" borderId="8" xfId="0" applyNumberFormat="1" applyFont="1" applyFill="1" applyBorder="1" applyAlignment="1" applyProtection="1">
      <alignment horizontal="right" vertical="center" wrapText="1"/>
    </xf>
    <xf numFmtId="49" fontId="32" fillId="0" borderId="8" xfId="0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vertical="center" wrapText="1"/>
    </xf>
    <xf numFmtId="3" fontId="50" fillId="0" borderId="8" xfId="49" applyNumberFormat="1" applyFont="1" applyFill="1" applyBorder="1" applyAlignment="1">
      <alignment vertical="center"/>
    </xf>
    <xf numFmtId="0" fontId="34" fillId="0" borderId="8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justify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top" wrapText="1"/>
    </xf>
    <xf numFmtId="0" fontId="32" fillId="0" borderId="8" xfId="0" applyFont="1" applyFill="1" applyBorder="1" applyAlignment="1">
      <alignment horizontal="justify" vertical="center" wrapText="1"/>
    </xf>
    <xf numFmtId="3" fontId="50" fillId="0" borderId="8" xfId="0" applyNumberFormat="1" applyFont="1" applyFill="1" applyBorder="1" applyAlignment="1">
      <alignment vertical="center"/>
    </xf>
    <xf numFmtId="0" fontId="29" fillId="24" borderId="8" xfId="0" applyFont="1" applyFill="1" applyBorder="1" applyAlignment="1">
      <alignment vertical="center"/>
    </xf>
    <xf numFmtId="0" fontId="72" fillId="24" borderId="8" xfId="0" applyFont="1" applyFill="1" applyBorder="1" applyAlignment="1">
      <alignment wrapText="1"/>
    </xf>
    <xf numFmtId="3" fontId="57" fillId="0" borderId="8" xfId="0" applyNumberFormat="1" applyFont="1" applyBorder="1" applyAlignment="1">
      <alignment horizontal="center" vertical="top" wrapText="1"/>
    </xf>
    <xf numFmtId="3" fontId="42" fillId="0" borderId="8" xfId="0" applyNumberFormat="1" applyFont="1" applyBorder="1" applyAlignment="1">
      <alignment horizontal="center" vertical="top" wrapText="1"/>
    </xf>
    <xf numFmtId="3" fontId="32" fillId="0" borderId="8" xfId="0" applyNumberFormat="1" applyFont="1" applyFill="1" applyBorder="1" applyAlignment="1" applyProtection="1">
      <alignment horizontal="center" vertical="center"/>
    </xf>
    <xf numFmtId="164" fontId="51" fillId="0" borderId="15" xfId="49" applyNumberFormat="1" applyFont="1" applyBorder="1" applyAlignment="1">
      <alignment horizontal="center" vertical="center" wrapText="1"/>
    </xf>
    <xf numFmtId="49" fontId="34" fillId="24" borderId="8" xfId="0" applyNumberFormat="1" applyFont="1" applyFill="1" applyBorder="1" applyAlignment="1">
      <alignment horizontal="center" vertical="center" wrapText="1"/>
    </xf>
    <xf numFmtId="0" fontId="34" fillId="24" borderId="8" xfId="0" applyFont="1" applyFill="1" applyBorder="1" applyAlignment="1">
      <alignment horizontal="center" vertical="center" wrapText="1"/>
    </xf>
    <xf numFmtId="0" fontId="1" fillId="24" borderId="8" xfId="0" applyFont="1" applyFill="1" applyBorder="1" applyAlignment="1">
      <alignment vertical="center" wrapText="1"/>
    </xf>
    <xf numFmtId="164" fontId="51" fillId="24" borderId="8" xfId="49" applyNumberFormat="1" applyFont="1" applyFill="1" applyBorder="1" applyAlignment="1">
      <alignment horizontal="center" vertical="center" wrapText="1"/>
    </xf>
    <xf numFmtId="164" fontId="43" fillId="24" borderId="11" xfId="49" applyNumberFormat="1" applyFont="1" applyFill="1" applyBorder="1" applyAlignment="1">
      <alignment horizontal="left" vertical="center" wrapText="1"/>
    </xf>
    <xf numFmtId="3" fontId="51" fillId="24" borderId="8" xfId="49" applyNumberFormat="1" applyFont="1" applyFill="1" applyBorder="1">
      <alignment vertical="top"/>
    </xf>
    <xf numFmtId="3" fontId="20" fillId="0" borderId="8" xfId="0" applyNumberFormat="1" applyFont="1" applyFill="1" applyBorder="1" applyAlignment="1" applyProtection="1">
      <alignment horizontal="right" vertical="center" wrapText="1"/>
    </xf>
    <xf numFmtId="0" fontId="34" fillId="0" borderId="0" xfId="0" applyFont="1" applyAlignment="1">
      <alignment wrapText="1"/>
    </xf>
    <xf numFmtId="0" fontId="20" fillId="0" borderId="16" xfId="0" applyFont="1" applyBorder="1" applyAlignment="1">
      <alignment horizontal="justify" wrapText="1"/>
    </xf>
    <xf numFmtId="0" fontId="1" fillId="0" borderId="0" xfId="0" applyFont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 wrapText="1"/>
    </xf>
    <xf numFmtId="3" fontId="51" fillId="0" borderId="17" xfId="49" applyNumberFormat="1" applyFont="1" applyFill="1" applyBorder="1">
      <alignment vertical="top"/>
    </xf>
    <xf numFmtId="49" fontId="34" fillId="0" borderId="15" xfId="0" applyNumberFormat="1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vertical="center" wrapText="1"/>
    </xf>
    <xf numFmtId="49" fontId="34" fillId="0" borderId="11" xfId="0" applyNumberFormat="1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vertical="center" wrapText="1"/>
    </xf>
    <xf numFmtId="0" fontId="73" fillId="0" borderId="8" xfId="0" applyFont="1" applyBorder="1" applyAlignment="1">
      <alignment horizontal="center" wrapText="1"/>
    </xf>
    <xf numFmtId="0" fontId="32" fillId="0" borderId="8" xfId="0" applyFont="1" applyBorder="1" applyAlignment="1">
      <alignment horizontal="justify" wrapText="1"/>
    </xf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justify" wrapText="1"/>
    </xf>
    <xf numFmtId="0" fontId="34" fillId="0" borderId="0" xfId="0" applyFont="1" applyAlignment="1">
      <alignment vertical="center" wrapText="1"/>
    </xf>
    <xf numFmtId="164" fontId="51" fillId="24" borderId="11" xfId="49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wrapText="1"/>
    </xf>
    <xf numFmtId="0" fontId="21" fillId="0" borderId="0" xfId="0" applyFont="1" applyAlignment="1">
      <alignment vertical="center" wrapText="1"/>
    </xf>
    <xf numFmtId="49" fontId="34" fillId="24" borderId="10" xfId="0" applyNumberFormat="1" applyFont="1" applyFill="1" applyBorder="1" applyAlignment="1">
      <alignment horizontal="center" vertical="center" wrapText="1"/>
    </xf>
    <xf numFmtId="49" fontId="34" fillId="0" borderId="10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164" fontId="51" fillId="24" borderId="17" xfId="49" applyNumberFormat="1" applyFont="1" applyFill="1" applyBorder="1" applyAlignment="1">
      <alignment vertical="top" wrapText="1"/>
    </xf>
    <xf numFmtId="0" fontId="1" fillId="0" borderId="8" xfId="0" applyFont="1" applyBorder="1" applyAlignment="1">
      <alignment horizontal="justify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34" fillId="0" borderId="0" xfId="0" applyNumberFormat="1" applyFont="1" applyFill="1" applyAlignment="1" applyProtection="1">
      <alignment horizontal="left" vertical="center" wrapText="1"/>
    </xf>
    <xf numFmtId="0" fontId="70" fillId="0" borderId="0" xfId="0" applyNumberFormat="1" applyFont="1" applyFill="1" applyAlignment="1" applyProtection="1">
      <alignment horizontal="left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Alignment="1" applyProtection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3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15" fillId="24" borderId="8" xfId="0" applyNumberFormat="1" applyFont="1" applyFill="1" applyBorder="1" applyAlignment="1" applyProtection="1">
      <alignment horizontal="center" vertical="center" wrapText="1"/>
    </xf>
    <xf numFmtId="0" fontId="29" fillId="24" borderId="8" xfId="0" applyNumberFormat="1" applyFont="1" applyFill="1" applyBorder="1" applyAlignment="1" applyProtection="1">
      <alignment horizontal="center"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2" fillId="24" borderId="15" xfId="0" applyNumberFormat="1" applyFont="1" applyFill="1" applyBorder="1" applyAlignment="1" applyProtection="1">
      <alignment horizontal="center" vertical="center" wrapText="1"/>
    </xf>
    <xf numFmtId="0" fontId="56" fillId="24" borderId="19" xfId="0" applyNumberFormat="1" applyFont="1" applyFill="1" applyBorder="1" applyAlignment="1" applyProtection="1">
      <alignment horizontal="center" vertical="center" wrapText="1"/>
    </xf>
    <xf numFmtId="0" fontId="56" fillId="24" borderId="11" xfId="0" applyNumberFormat="1" applyFont="1" applyFill="1" applyBorder="1" applyAlignment="1" applyProtection="1">
      <alignment horizontal="center" vertical="center" wrapText="1"/>
    </xf>
    <xf numFmtId="0" fontId="49" fillId="0" borderId="0" xfId="0" applyNumberFormat="1" applyFont="1" applyFill="1" applyAlignment="1" applyProtection="1">
      <alignment horizontal="left" vertical="top"/>
    </xf>
    <xf numFmtId="0" fontId="3" fillId="24" borderId="8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Alignment="1" applyProtection="1">
      <alignment vertical="center" wrapText="1"/>
    </xf>
    <xf numFmtId="0" fontId="56" fillId="24" borderId="8" xfId="0" applyNumberFormat="1" applyFont="1" applyFill="1" applyBorder="1" applyAlignment="1" applyProtection="1">
      <alignment horizontal="center" vertical="center" wrapText="1"/>
    </xf>
    <xf numFmtId="0" fontId="22" fillId="24" borderId="8" xfId="0" applyNumberFormat="1" applyFont="1" applyFill="1" applyBorder="1" applyAlignment="1" applyProtection="1">
      <alignment horizontal="center" vertical="center" wrapText="1"/>
    </xf>
    <xf numFmtId="0" fontId="29" fillId="24" borderId="0" xfId="0" applyNumberFormat="1" applyFont="1" applyFill="1" applyBorder="1" applyAlignment="1" applyProtection="1">
      <alignment horizontal="left" vertical="center" wrapText="1"/>
    </xf>
    <xf numFmtId="0" fontId="61" fillId="0" borderId="15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0" fontId="23" fillId="24" borderId="7" xfId="0" applyFont="1" applyFill="1" applyBorder="1" applyAlignment="1">
      <alignment horizontal="center" vertical="center" wrapText="1"/>
    </xf>
    <xf numFmtId="0" fontId="34" fillId="0" borderId="0" xfId="0" applyNumberFormat="1" applyFont="1" applyFill="1" applyAlignment="1" applyProtection="1">
      <alignment horizontal="center" vertical="center" wrapText="1"/>
    </xf>
    <xf numFmtId="0" fontId="23" fillId="24" borderId="12" xfId="0" applyFont="1" applyFill="1" applyBorder="1" applyAlignment="1">
      <alignment horizontal="left" vertical="center" wrapText="1"/>
    </xf>
    <xf numFmtId="0" fontId="23" fillId="24" borderId="18" xfId="0" applyFont="1" applyFill="1" applyBorder="1" applyAlignment="1">
      <alignment horizontal="left" vertical="center" wrapText="1"/>
    </xf>
    <xf numFmtId="0" fontId="23" fillId="24" borderId="10" xfId="0" applyFont="1" applyFill="1" applyBorder="1" applyAlignment="1">
      <alignment horizontal="left" vertical="center" wrapText="1"/>
    </xf>
    <xf numFmtId="0" fontId="23" fillId="24" borderId="17" xfId="0" applyFont="1" applyFill="1" applyBorder="1" applyAlignment="1">
      <alignment horizontal="left" vertical="center" wrapText="1"/>
    </xf>
    <xf numFmtId="0" fontId="23" fillId="24" borderId="8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6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164" fontId="51" fillId="24" borderId="15" xfId="49" applyNumberFormat="1" applyFont="1" applyFill="1" applyBorder="1" applyAlignment="1">
      <alignment horizontal="left" vertical="center" wrapText="1"/>
    </xf>
    <xf numFmtId="164" fontId="51" fillId="24" borderId="19" xfId="49" applyNumberFormat="1" applyFont="1" applyFill="1" applyBorder="1" applyAlignment="1">
      <alignment horizontal="left" vertical="center" wrapText="1"/>
    </xf>
    <xf numFmtId="164" fontId="51" fillId="24" borderId="11" xfId="49" applyNumberFormat="1" applyFont="1" applyFill="1" applyBorder="1" applyAlignment="1">
      <alignment horizontal="left" vertical="center" wrapText="1"/>
    </xf>
    <xf numFmtId="164" fontId="51" fillId="0" borderId="15" xfId="49" applyNumberFormat="1" applyFont="1" applyBorder="1" applyAlignment="1">
      <alignment horizontal="center" vertical="center" wrapText="1"/>
    </xf>
    <xf numFmtId="164" fontId="51" fillId="0" borderId="19" xfId="49" applyNumberFormat="1" applyFont="1" applyBorder="1" applyAlignment="1">
      <alignment horizontal="center" vertical="center" wrapText="1"/>
    </xf>
    <xf numFmtId="164" fontId="51" fillId="0" borderId="11" xfId="49" applyNumberFormat="1" applyFont="1" applyBorder="1" applyAlignment="1">
      <alignment horizontal="center" vertical="center" wrapText="1"/>
    </xf>
    <xf numFmtId="164" fontId="43" fillId="24" borderId="20" xfId="49" applyNumberFormat="1" applyFont="1" applyFill="1" applyBorder="1" applyAlignment="1">
      <alignment horizontal="center" vertical="top" wrapText="1"/>
    </xf>
    <xf numFmtId="164" fontId="43" fillId="24" borderId="21" xfId="49" applyNumberFormat="1" applyFont="1" applyFill="1" applyBorder="1" applyAlignment="1">
      <alignment horizontal="center" vertical="top" wrapText="1"/>
    </xf>
    <xf numFmtId="164" fontId="51" fillId="0" borderId="15" xfId="49" applyNumberFormat="1" applyFont="1" applyBorder="1" applyAlignment="1">
      <alignment horizontal="center" vertical="top" wrapText="1"/>
    </xf>
    <xf numFmtId="164" fontId="51" fillId="0" borderId="19" xfId="49" applyNumberFormat="1" applyFont="1" applyBorder="1" applyAlignment="1">
      <alignment horizontal="center" vertical="top" wrapText="1"/>
    </xf>
    <xf numFmtId="164" fontId="51" fillId="0" borderId="11" xfId="49" applyNumberFormat="1" applyFont="1" applyBorder="1" applyAlignment="1">
      <alignment horizontal="center" vertical="top" wrapText="1"/>
    </xf>
    <xf numFmtId="164" fontId="43" fillId="24" borderId="15" xfId="49" applyNumberFormat="1" applyFont="1" applyFill="1" applyBorder="1" applyAlignment="1">
      <alignment horizontal="center" vertical="center" wrapText="1"/>
    </xf>
    <xf numFmtId="164" fontId="43" fillId="24" borderId="19" xfId="49" applyNumberFormat="1" applyFont="1" applyFill="1" applyBorder="1" applyAlignment="1">
      <alignment horizontal="center" vertical="center" wrapText="1"/>
    </xf>
    <xf numFmtId="164" fontId="43" fillId="24" borderId="11" xfId="49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 applyProtection="1">
      <alignment wrapText="1"/>
    </xf>
    <xf numFmtId="0" fontId="22" fillId="0" borderId="7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56" fillId="0" borderId="7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80">
    <cellStyle name="20% - Акцент1" xfId="1"/>
    <cellStyle name="20% — акцент1" xfId="62" builtinId="30" hidden="1"/>
    <cellStyle name="20% - Акцент2" xfId="2"/>
    <cellStyle name="20% — акцент2" xfId="65" builtinId="34" hidden="1"/>
    <cellStyle name="20% - Акцент3" xfId="3"/>
    <cellStyle name="20% — акцент3" xfId="68" builtinId="38" hidden="1"/>
    <cellStyle name="20% - Акцент4" xfId="4"/>
    <cellStyle name="20% — акцент4" xfId="71" builtinId="42" hidden="1"/>
    <cellStyle name="20% - Акцент5" xfId="5"/>
    <cellStyle name="20% — акцент5" xfId="74" builtinId="46" hidden="1"/>
    <cellStyle name="20% - Акцент6" xfId="6"/>
    <cellStyle name="20% — акцент6" xfId="77" builtinId="50" hidden="1"/>
    <cellStyle name="40% - Акцент1" xfId="7"/>
    <cellStyle name="40% — акцент1" xfId="63" builtinId="31" hidden="1"/>
    <cellStyle name="40% - Акцент2" xfId="8"/>
    <cellStyle name="40% — акцент2" xfId="66" builtinId="35" hidden="1"/>
    <cellStyle name="40% - Акцент3" xfId="9"/>
    <cellStyle name="40% — акцент3" xfId="69" builtinId="39" hidden="1"/>
    <cellStyle name="40% - Акцент4" xfId="10"/>
    <cellStyle name="40% — акцент4" xfId="72" builtinId="43" hidden="1"/>
    <cellStyle name="40% - Акцент5" xfId="11"/>
    <cellStyle name="40% — акцент5" xfId="75" builtinId="47" hidden="1"/>
    <cellStyle name="40% - Акцент6" xfId="12"/>
    <cellStyle name="40% — акцент6" xfId="78" builtinId="51" hidden="1"/>
    <cellStyle name="60% - Акцент1" xfId="13"/>
    <cellStyle name="60% — акцент1" xfId="64" builtinId="32" hidden="1"/>
    <cellStyle name="60% - Акцент2" xfId="14"/>
    <cellStyle name="60% — акцент2" xfId="67" builtinId="36" hidden="1"/>
    <cellStyle name="60% - Акцент3" xfId="15"/>
    <cellStyle name="60% — акцент3" xfId="70" builtinId="40" hidden="1"/>
    <cellStyle name="60% - Акцент4" xfId="16"/>
    <cellStyle name="60% — акцент4" xfId="73" builtinId="44" hidden="1"/>
    <cellStyle name="60% - Акцент5" xfId="17"/>
    <cellStyle name="60% — акцент5" xfId="76" builtinId="48" hidden="1"/>
    <cellStyle name="60% - Акцент6" xfId="18"/>
    <cellStyle name="60% — акцент6" xfId="79" builtinId="52" hidden="1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вод " xfId="27"/>
    <cellStyle name="Вывод" xfId="28"/>
    <cellStyle name="Вычисление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6"/>
  <sheetViews>
    <sheetView showGridLines="0" showZeros="0" zoomScaleNormal="100" workbookViewId="0">
      <selection activeCell="D64" sqref="D64"/>
    </sheetView>
  </sheetViews>
  <sheetFormatPr defaultColWidth="9.1640625" defaultRowHeight="12.75" x14ac:dyDescent="0.2"/>
  <cols>
    <col min="1" max="1" width="11.83203125" style="2" customWidth="1"/>
    <col min="2" max="2" width="47.1640625" style="2" customWidth="1"/>
    <col min="3" max="3" width="14.1640625" style="2" customWidth="1"/>
    <col min="4" max="4" width="13.6640625" style="2" customWidth="1"/>
    <col min="5" max="5" width="14.1640625" style="2" customWidth="1"/>
    <col min="6" max="6" width="13.5" style="2" customWidth="1"/>
    <col min="7" max="12" width="9.1640625" style="2"/>
    <col min="13" max="244" width="9.1640625" style="39"/>
    <col min="245" max="253" width="9.1640625" style="2"/>
    <col min="254" max="16384" width="9.1640625" style="39"/>
  </cols>
  <sheetData>
    <row r="1" spans="1:253" ht="57.6" customHeight="1" x14ac:dyDescent="0.2">
      <c r="C1" s="221" t="s">
        <v>223</v>
      </c>
      <c r="D1" s="221"/>
      <c r="E1" s="221"/>
      <c r="F1" s="221"/>
      <c r="M1" s="2"/>
    </row>
    <row r="2" spans="1:253" ht="12.6" customHeight="1" x14ac:dyDescent="0.2">
      <c r="A2" s="224" t="s">
        <v>140</v>
      </c>
      <c r="B2" s="225"/>
      <c r="C2" s="225"/>
      <c r="D2" s="225"/>
      <c r="E2" s="225"/>
    </row>
    <row r="3" spans="1:253" ht="10.9" customHeight="1" x14ac:dyDescent="0.2">
      <c r="B3" s="69"/>
      <c r="C3" s="69"/>
      <c r="D3" s="69"/>
      <c r="E3" s="69"/>
      <c r="F3" s="71" t="s">
        <v>94</v>
      </c>
    </row>
    <row r="4" spans="1:253" ht="25.5" customHeight="1" x14ac:dyDescent="0.2">
      <c r="A4" s="223" t="s">
        <v>0</v>
      </c>
      <c r="B4" s="223" t="s">
        <v>6</v>
      </c>
      <c r="C4" s="223" t="s">
        <v>23</v>
      </c>
      <c r="D4" s="223" t="s">
        <v>20</v>
      </c>
      <c r="E4" s="223" t="s">
        <v>21</v>
      </c>
      <c r="F4" s="223"/>
    </row>
    <row r="5" spans="1:253" ht="37.15" customHeight="1" x14ac:dyDescent="0.2">
      <c r="A5" s="223"/>
      <c r="B5" s="223"/>
      <c r="C5" s="223"/>
      <c r="D5" s="223"/>
      <c r="E5" s="59" t="s">
        <v>23</v>
      </c>
      <c r="F5" s="57" t="s">
        <v>36</v>
      </c>
    </row>
    <row r="6" spans="1:253" s="52" customFormat="1" ht="22.15" customHeight="1" x14ac:dyDescent="0.2">
      <c r="A6" s="49">
        <v>10000000</v>
      </c>
      <c r="B6" s="50" t="s">
        <v>8</v>
      </c>
      <c r="C6" s="120">
        <f>D6+E6</f>
        <v>32334100</v>
      </c>
      <c r="D6" s="121">
        <f>D7+D10+D14+D30</f>
        <v>32178100</v>
      </c>
      <c r="E6" s="121">
        <f>E7+E10+E14+E30</f>
        <v>156000</v>
      </c>
      <c r="F6" s="121">
        <f>F7+F10+F14+F30</f>
        <v>0</v>
      </c>
      <c r="G6" s="51"/>
      <c r="H6" s="51"/>
      <c r="I6" s="51"/>
      <c r="J6" s="51"/>
      <c r="K6" s="51"/>
      <c r="L6" s="51"/>
      <c r="IK6" s="51"/>
      <c r="IL6" s="51"/>
      <c r="IM6" s="51"/>
      <c r="IN6" s="51"/>
      <c r="IO6" s="51"/>
      <c r="IP6" s="51"/>
      <c r="IQ6" s="51"/>
      <c r="IR6" s="51"/>
      <c r="IS6" s="51"/>
    </row>
    <row r="7" spans="1:253" s="61" customFormat="1" ht="31.5" customHeight="1" x14ac:dyDescent="0.25">
      <c r="A7" s="110">
        <v>11000000</v>
      </c>
      <c r="B7" s="111" t="s">
        <v>9</v>
      </c>
      <c r="C7" s="120">
        <f>D7+E7</f>
        <v>1600</v>
      </c>
      <c r="D7" s="121">
        <f>D8</f>
        <v>1600</v>
      </c>
      <c r="E7" s="121">
        <f>E8</f>
        <v>0</v>
      </c>
      <c r="F7" s="121">
        <f>F8</f>
        <v>0</v>
      </c>
      <c r="G7" s="60"/>
      <c r="H7" s="60"/>
      <c r="I7" s="60"/>
      <c r="J7" s="60"/>
      <c r="K7" s="60"/>
      <c r="L7" s="60"/>
      <c r="IK7" s="60"/>
      <c r="IL7" s="60"/>
      <c r="IM7" s="60"/>
      <c r="IN7" s="60"/>
      <c r="IO7" s="60"/>
      <c r="IP7" s="60"/>
      <c r="IQ7" s="60"/>
      <c r="IR7" s="60"/>
      <c r="IS7" s="60"/>
    </row>
    <row r="8" spans="1:253" s="60" customFormat="1" ht="20.25" customHeight="1" x14ac:dyDescent="0.25">
      <c r="A8" s="110">
        <v>11020000</v>
      </c>
      <c r="B8" s="111" t="s">
        <v>10</v>
      </c>
      <c r="C8" s="120">
        <f t="shared" ref="C8:C64" si="0">D8+E8</f>
        <v>1600</v>
      </c>
      <c r="D8" s="120">
        <f>D9</f>
        <v>1600</v>
      </c>
      <c r="E8" s="120"/>
      <c r="F8" s="120"/>
    </row>
    <row r="9" spans="1:253" s="61" customFormat="1" ht="26.45" customHeight="1" x14ac:dyDescent="0.25">
      <c r="A9" s="58">
        <v>11020200</v>
      </c>
      <c r="B9" s="112" t="s">
        <v>57</v>
      </c>
      <c r="C9" s="122">
        <f t="shared" si="0"/>
        <v>1600</v>
      </c>
      <c r="D9" s="123">
        <v>1600</v>
      </c>
      <c r="E9" s="123"/>
      <c r="F9" s="123"/>
      <c r="G9" s="60"/>
      <c r="H9" s="60"/>
      <c r="I9" s="60"/>
      <c r="J9" s="60"/>
      <c r="K9" s="60"/>
      <c r="L9" s="60"/>
      <c r="IK9" s="60"/>
      <c r="IL9" s="60"/>
      <c r="IM9" s="60"/>
      <c r="IN9" s="60"/>
      <c r="IO9" s="60"/>
      <c r="IP9" s="60"/>
      <c r="IQ9" s="60"/>
      <c r="IR9" s="60"/>
      <c r="IS9" s="60"/>
    </row>
    <row r="10" spans="1:253" s="61" customFormat="1" ht="20.25" customHeight="1" x14ac:dyDescent="0.25">
      <c r="A10" s="110">
        <v>14000000</v>
      </c>
      <c r="B10" s="111" t="s">
        <v>16</v>
      </c>
      <c r="C10" s="120">
        <f t="shared" si="0"/>
        <v>8336700</v>
      </c>
      <c r="D10" s="121">
        <f>D11+D12+D13</f>
        <v>8336700</v>
      </c>
      <c r="E10" s="121">
        <f>E13</f>
        <v>0</v>
      </c>
      <c r="F10" s="121">
        <f>F13</f>
        <v>0</v>
      </c>
      <c r="G10" s="60"/>
      <c r="H10" s="60"/>
      <c r="I10" s="60"/>
      <c r="J10" s="60"/>
      <c r="K10" s="60"/>
      <c r="L10" s="60"/>
      <c r="IK10" s="60"/>
      <c r="IL10" s="60"/>
      <c r="IM10" s="60"/>
      <c r="IN10" s="60"/>
      <c r="IO10" s="60"/>
      <c r="IP10" s="60"/>
      <c r="IQ10" s="60"/>
      <c r="IR10" s="60"/>
      <c r="IS10" s="60"/>
    </row>
    <row r="11" spans="1:253" s="61" customFormat="1" ht="15" customHeight="1" x14ac:dyDescent="0.25">
      <c r="A11" s="58">
        <v>14021900</v>
      </c>
      <c r="B11" s="163" t="s">
        <v>133</v>
      </c>
      <c r="C11" s="122">
        <f t="shared" si="0"/>
        <v>1368200</v>
      </c>
      <c r="D11" s="123">
        <v>1368200</v>
      </c>
      <c r="E11" s="121"/>
      <c r="F11" s="121"/>
      <c r="G11" s="60"/>
      <c r="H11" s="60"/>
      <c r="I11" s="60"/>
      <c r="J11" s="60"/>
      <c r="K11" s="60"/>
      <c r="L11" s="60"/>
      <c r="IK11" s="60"/>
      <c r="IL11" s="60"/>
      <c r="IM11" s="60"/>
      <c r="IN11" s="60"/>
      <c r="IO11" s="60"/>
      <c r="IP11" s="60"/>
      <c r="IQ11" s="60"/>
      <c r="IR11" s="60"/>
      <c r="IS11" s="60"/>
    </row>
    <row r="12" spans="1:253" s="61" customFormat="1" ht="15.6" customHeight="1" x14ac:dyDescent="0.25">
      <c r="A12" s="58">
        <v>14031900</v>
      </c>
      <c r="B12" s="163" t="s">
        <v>133</v>
      </c>
      <c r="C12" s="122">
        <f t="shared" si="0"/>
        <v>4688500</v>
      </c>
      <c r="D12" s="123">
        <v>4688500</v>
      </c>
      <c r="E12" s="121"/>
      <c r="F12" s="121"/>
      <c r="G12" s="60"/>
      <c r="H12" s="60"/>
      <c r="I12" s="60"/>
      <c r="J12" s="60"/>
      <c r="K12" s="60"/>
      <c r="L12" s="60"/>
      <c r="IK12" s="60"/>
      <c r="IL12" s="60"/>
      <c r="IM12" s="60"/>
      <c r="IN12" s="60"/>
      <c r="IO12" s="60"/>
      <c r="IP12" s="60"/>
      <c r="IQ12" s="60"/>
      <c r="IR12" s="60"/>
      <c r="IS12" s="60"/>
    </row>
    <row r="13" spans="1:253" s="61" customFormat="1" ht="25.15" customHeight="1" x14ac:dyDescent="0.25">
      <c r="A13" s="58">
        <v>14040000</v>
      </c>
      <c r="B13" s="112" t="s">
        <v>58</v>
      </c>
      <c r="C13" s="122">
        <f t="shared" si="0"/>
        <v>2280000</v>
      </c>
      <c r="D13" s="123">
        <v>2280000</v>
      </c>
      <c r="E13" s="123"/>
      <c r="F13" s="123"/>
      <c r="G13" s="60"/>
      <c r="H13" s="60"/>
      <c r="I13" s="60"/>
      <c r="J13" s="60"/>
      <c r="K13" s="60"/>
      <c r="L13" s="60"/>
      <c r="IK13" s="60"/>
      <c r="IL13" s="60"/>
      <c r="IM13" s="60"/>
      <c r="IN13" s="60"/>
      <c r="IO13" s="60"/>
      <c r="IP13" s="60"/>
      <c r="IQ13" s="60"/>
      <c r="IR13" s="60"/>
      <c r="IS13" s="60"/>
    </row>
    <row r="14" spans="1:253" s="61" customFormat="1" ht="20.25" customHeight="1" x14ac:dyDescent="0.25">
      <c r="A14" s="110">
        <v>18000000</v>
      </c>
      <c r="B14" s="111" t="s">
        <v>50</v>
      </c>
      <c r="C14" s="124">
        <f t="shared" si="0"/>
        <v>23839800</v>
      </c>
      <c r="D14" s="125">
        <f>D15+D26</f>
        <v>23839800</v>
      </c>
      <c r="E14" s="125"/>
      <c r="F14" s="125"/>
      <c r="G14" s="60"/>
      <c r="H14" s="60"/>
      <c r="I14" s="60"/>
      <c r="J14" s="60"/>
      <c r="K14" s="60"/>
      <c r="L14" s="60"/>
      <c r="IK14" s="60"/>
      <c r="IL14" s="60"/>
      <c r="IM14" s="60"/>
      <c r="IN14" s="60"/>
      <c r="IO14" s="60"/>
      <c r="IP14" s="60"/>
      <c r="IQ14" s="60"/>
      <c r="IR14" s="60"/>
      <c r="IS14" s="60"/>
    </row>
    <row r="15" spans="1:253" s="61" customFormat="1" ht="20.25" customHeight="1" x14ac:dyDescent="0.25">
      <c r="A15" s="110">
        <v>18010000</v>
      </c>
      <c r="B15" s="111" t="s">
        <v>59</v>
      </c>
      <c r="C15" s="124">
        <f t="shared" si="0"/>
        <v>15078600</v>
      </c>
      <c r="D15" s="125">
        <f>D16+D17+D18+D19+D20+D21+D22+D23+D24+D25</f>
        <v>15078600</v>
      </c>
      <c r="E15" s="125"/>
      <c r="F15" s="125"/>
      <c r="G15" s="60"/>
      <c r="H15" s="60"/>
      <c r="I15" s="60"/>
      <c r="J15" s="60"/>
      <c r="K15" s="60"/>
      <c r="L15" s="60"/>
      <c r="IK15" s="60"/>
      <c r="IL15" s="60"/>
      <c r="IM15" s="60"/>
      <c r="IN15" s="60"/>
      <c r="IO15" s="60"/>
      <c r="IP15" s="60"/>
      <c r="IQ15" s="60"/>
      <c r="IR15" s="60"/>
      <c r="IS15" s="60"/>
    </row>
    <row r="16" spans="1:253" s="61" customFormat="1" ht="33.6" customHeight="1" x14ac:dyDescent="0.25">
      <c r="A16" s="58">
        <v>18010100</v>
      </c>
      <c r="B16" s="112" t="s">
        <v>60</v>
      </c>
      <c r="C16" s="122">
        <f t="shared" si="0"/>
        <v>1700</v>
      </c>
      <c r="D16" s="123">
        <v>1700</v>
      </c>
      <c r="E16" s="123"/>
      <c r="F16" s="123"/>
      <c r="G16" s="60"/>
      <c r="H16" s="60"/>
      <c r="I16" s="60"/>
      <c r="J16" s="60"/>
      <c r="K16" s="60"/>
      <c r="L16" s="60"/>
      <c r="IK16" s="60"/>
      <c r="IL16" s="60"/>
      <c r="IM16" s="60"/>
      <c r="IN16" s="60"/>
      <c r="IO16" s="60"/>
      <c r="IP16" s="60"/>
      <c r="IQ16" s="60"/>
      <c r="IR16" s="60"/>
      <c r="IS16" s="60"/>
    </row>
    <row r="17" spans="1:253" s="61" customFormat="1" ht="37.9" customHeight="1" x14ac:dyDescent="0.25">
      <c r="A17" s="58">
        <v>18010200</v>
      </c>
      <c r="B17" s="112" t="s">
        <v>61</v>
      </c>
      <c r="C17" s="122">
        <f t="shared" si="0"/>
        <v>249300</v>
      </c>
      <c r="D17" s="123">
        <v>249300</v>
      </c>
      <c r="E17" s="123"/>
      <c r="F17" s="123"/>
      <c r="G17" s="60"/>
      <c r="H17" s="60"/>
      <c r="I17" s="60"/>
      <c r="J17" s="60"/>
      <c r="K17" s="60"/>
      <c r="L17" s="60"/>
      <c r="IK17" s="60"/>
      <c r="IL17" s="60"/>
      <c r="IM17" s="60"/>
      <c r="IN17" s="60"/>
      <c r="IO17" s="60"/>
      <c r="IP17" s="60"/>
      <c r="IQ17" s="60"/>
      <c r="IR17" s="60"/>
      <c r="IS17" s="60"/>
    </row>
    <row r="18" spans="1:253" s="61" customFormat="1" ht="37.9" customHeight="1" x14ac:dyDescent="0.25">
      <c r="A18" s="58">
        <v>18010300</v>
      </c>
      <c r="B18" s="112" t="s">
        <v>62</v>
      </c>
      <c r="C18" s="122">
        <f t="shared" si="0"/>
        <v>395400</v>
      </c>
      <c r="D18" s="123">
        <v>395400</v>
      </c>
      <c r="E18" s="123"/>
      <c r="F18" s="123"/>
      <c r="G18" s="60"/>
      <c r="H18" s="60"/>
      <c r="I18" s="60"/>
      <c r="J18" s="60"/>
      <c r="K18" s="60"/>
      <c r="L18" s="60"/>
      <c r="IK18" s="60"/>
      <c r="IL18" s="60"/>
      <c r="IM18" s="60"/>
      <c r="IN18" s="60"/>
      <c r="IO18" s="60"/>
      <c r="IP18" s="60"/>
      <c r="IQ18" s="60"/>
      <c r="IR18" s="60"/>
      <c r="IS18" s="60"/>
    </row>
    <row r="19" spans="1:253" s="61" customFormat="1" ht="34.15" customHeight="1" x14ac:dyDescent="0.25">
      <c r="A19" s="58">
        <v>18010400</v>
      </c>
      <c r="B19" s="112" t="s">
        <v>60</v>
      </c>
      <c r="C19" s="122">
        <f t="shared" si="0"/>
        <v>683700</v>
      </c>
      <c r="D19" s="123">
        <v>683700</v>
      </c>
      <c r="E19" s="123"/>
      <c r="F19" s="123"/>
      <c r="G19" s="60"/>
      <c r="H19" s="60"/>
      <c r="I19" s="60"/>
      <c r="J19" s="60"/>
      <c r="K19" s="60"/>
      <c r="L19" s="60"/>
      <c r="IK19" s="60"/>
      <c r="IL19" s="60"/>
      <c r="IM19" s="60"/>
      <c r="IN19" s="60"/>
      <c r="IO19" s="60"/>
      <c r="IP19" s="60"/>
      <c r="IQ19" s="60"/>
      <c r="IR19" s="60"/>
      <c r="IS19" s="60"/>
    </row>
    <row r="20" spans="1:253" s="61" customFormat="1" ht="19.149999999999999" customHeight="1" x14ac:dyDescent="0.25">
      <c r="A20" s="58">
        <v>18010500</v>
      </c>
      <c r="B20" s="112" t="s">
        <v>63</v>
      </c>
      <c r="C20" s="122">
        <f t="shared" si="0"/>
        <v>5608500</v>
      </c>
      <c r="D20" s="123">
        <v>5608500</v>
      </c>
      <c r="E20" s="123"/>
      <c r="F20" s="123"/>
      <c r="G20" s="60"/>
      <c r="H20" s="60"/>
      <c r="I20" s="60"/>
      <c r="J20" s="60"/>
      <c r="K20" s="60"/>
      <c r="L20" s="60"/>
      <c r="IK20" s="60"/>
      <c r="IL20" s="60"/>
      <c r="IM20" s="60"/>
      <c r="IN20" s="60"/>
      <c r="IO20" s="60"/>
      <c r="IP20" s="60"/>
      <c r="IQ20" s="60"/>
      <c r="IR20" s="60"/>
      <c r="IS20" s="60"/>
    </row>
    <row r="21" spans="1:253" s="61" customFormat="1" ht="20.25" customHeight="1" x14ac:dyDescent="0.25">
      <c r="A21" s="58">
        <v>18010600</v>
      </c>
      <c r="B21" s="112" t="s">
        <v>64</v>
      </c>
      <c r="C21" s="122">
        <f t="shared" si="0"/>
        <v>6360000</v>
      </c>
      <c r="D21" s="123">
        <v>6360000</v>
      </c>
      <c r="E21" s="123"/>
      <c r="F21" s="123"/>
      <c r="G21" s="60"/>
      <c r="H21" s="60"/>
      <c r="I21" s="60"/>
      <c r="J21" s="60"/>
      <c r="K21" s="60"/>
      <c r="L21" s="60"/>
      <c r="IK21" s="60"/>
      <c r="IL21" s="60"/>
      <c r="IM21" s="60"/>
      <c r="IN21" s="60"/>
      <c r="IO21" s="60"/>
      <c r="IP21" s="60"/>
      <c r="IQ21" s="60"/>
      <c r="IR21" s="60"/>
      <c r="IS21" s="60"/>
    </row>
    <row r="22" spans="1:253" s="61" customFormat="1" ht="20.25" customHeight="1" x14ac:dyDescent="0.25">
      <c r="A22" s="58">
        <v>18010700</v>
      </c>
      <c r="B22" s="112" t="s">
        <v>65</v>
      </c>
      <c r="C22" s="122">
        <f t="shared" si="0"/>
        <v>480000</v>
      </c>
      <c r="D22" s="123">
        <v>480000</v>
      </c>
      <c r="E22" s="123"/>
      <c r="F22" s="123"/>
      <c r="G22" s="60"/>
      <c r="H22" s="60"/>
      <c r="I22" s="60"/>
      <c r="J22" s="60"/>
      <c r="K22" s="60"/>
      <c r="L22" s="60"/>
      <c r="IK22" s="60"/>
      <c r="IL22" s="60"/>
      <c r="IM22" s="60"/>
      <c r="IN22" s="60"/>
      <c r="IO22" s="60"/>
      <c r="IP22" s="60"/>
      <c r="IQ22" s="60"/>
      <c r="IR22" s="60"/>
      <c r="IS22" s="60"/>
    </row>
    <row r="23" spans="1:253" s="61" customFormat="1" ht="20.25" customHeight="1" x14ac:dyDescent="0.25">
      <c r="A23" s="58">
        <v>18010900</v>
      </c>
      <c r="B23" s="112" t="s">
        <v>66</v>
      </c>
      <c r="C23" s="122">
        <f t="shared" si="0"/>
        <v>1200000</v>
      </c>
      <c r="D23" s="123">
        <v>1200000</v>
      </c>
      <c r="E23" s="123"/>
      <c r="F23" s="123"/>
      <c r="G23" s="60"/>
      <c r="H23" s="60"/>
      <c r="I23" s="60"/>
      <c r="J23" s="60"/>
      <c r="K23" s="60"/>
      <c r="L23" s="60"/>
      <c r="IK23" s="60"/>
      <c r="IL23" s="60"/>
      <c r="IM23" s="60"/>
      <c r="IN23" s="60"/>
      <c r="IO23" s="60"/>
      <c r="IP23" s="60"/>
      <c r="IQ23" s="60"/>
      <c r="IR23" s="60"/>
      <c r="IS23" s="60"/>
    </row>
    <row r="24" spans="1:253" s="61" customFormat="1" ht="20.25" customHeight="1" x14ac:dyDescent="0.25">
      <c r="A24" s="58">
        <v>18011000</v>
      </c>
      <c r="B24" s="112" t="s">
        <v>67</v>
      </c>
      <c r="C24" s="122">
        <f t="shared" si="0"/>
        <v>50000</v>
      </c>
      <c r="D24" s="123">
        <v>50000</v>
      </c>
      <c r="E24" s="123"/>
      <c r="F24" s="123"/>
      <c r="G24" s="60"/>
      <c r="H24" s="60"/>
      <c r="I24" s="60"/>
      <c r="J24" s="60"/>
      <c r="K24" s="60"/>
      <c r="L24" s="60"/>
      <c r="IK24" s="60"/>
      <c r="IL24" s="60"/>
      <c r="IM24" s="60"/>
      <c r="IN24" s="60"/>
      <c r="IO24" s="60"/>
      <c r="IP24" s="60"/>
      <c r="IQ24" s="60"/>
      <c r="IR24" s="60"/>
      <c r="IS24" s="60"/>
    </row>
    <row r="25" spans="1:253" s="61" customFormat="1" ht="20.25" customHeight="1" x14ac:dyDescent="0.25">
      <c r="A25" s="58">
        <v>18011100</v>
      </c>
      <c r="B25" s="112" t="s">
        <v>68</v>
      </c>
      <c r="C25" s="122">
        <f t="shared" si="0"/>
        <v>50000</v>
      </c>
      <c r="D25" s="123">
        <v>50000</v>
      </c>
      <c r="E25" s="123"/>
      <c r="F25" s="123"/>
      <c r="G25" s="60"/>
      <c r="H25" s="60"/>
      <c r="I25" s="60"/>
      <c r="J25" s="60"/>
      <c r="K25" s="60"/>
      <c r="L25" s="60"/>
      <c r="IK25" s="60"/>
      <c r="IL25" s="60"/>
      <c r="IM25" s="60"/>
      <c r="IN25" s="60"/>
      <c r="IO25" s="60"/>
      <c r="IP25" s="60"/>
      <c r="IQ25" s="60"/>
      <c r="IR25" s="60"/>
      <c r="IS25" s="60"/>
    </row>
    <row r="26" spans="1:253" s="61" customFormat="1" ht="20.25" customHeight="1" x14ac:dyDescent="0.25">
      <c r="A26" s="110">
        <v>18050000</v>
      </c>
      <c r="B26" s="111" t="s">
        <v>69</v>
      </c>
      <c r="C26" s="124">
        <f t="shared" si="0"/>
        <v>8761200</v>
      </c>
      <c r="D26" s="125">
        <f>D27+D28+D29</f>
        <v>8761200</v>
      </c>
      <c r="E26" s="125">
        <f>E27+E28+E29</f>
        <v>0</v>
      </c>
      <c r="F26" s="125">
        <f>F27+F28+F29</f>
        <v>0</v>
      </c>
      <c r="G26" s="60"/>
      <c r="H26" s="60"/>
      <c r="I26" s="60"/>
      <c r="J26" s="60"/>
      <c r="K26" s="60"/>
      <c r="L26" s="60"/>
      <c r="IK26" s="60"/>
      <c r="IL26" s="60"/>
      <c r="IM26" s="60"/>
      <c r="IN26" s="60"/>
      <c r="IO26" s="60"/>
      <c r="IP26" s="60"/>
      <c r="IQ26" s="60"/>
      <c r="IR26" s="60"/>
      <c r="IS26" s="60"/>
    </row>
    <row r="27" spans="1:253" s="61" customFormat="1" ht="20.25" customHeight="1" x14ac:dyDescent="0.25">
      <c r="A27" s="58">
        <v>18050300</v>
      </c>
      <c r="B27" s="112" t="s">
        <v>70</v>
      </c>
      <c r="C27" s="122">
        <f t="shared" si="0"/>
        <v>1939000</v>
      </c>
      <c r="D27" s="123">
        <v>1939000</v>
      </c>
      <c r="E27" s="123"/>
      <c r="F27" s="123"/>
      <c r="G27" s="60"/>
      <c r="H27" s="60"/>
      <c r="I27" s="60"/>
      <c r="J27" s="60"/>
      <c r="K27" s="60"/>
      <c r="L27" s="60"/>
      <c r="IK27" s="60"/>
      <c r="IL27" s="60"/>
      <c r="IM27" s="60"/>
      <c r="IN27" s="60"/>
      <c r="IO27" s="60"/>
      <c r="IP27" s="60"/>
      <c r="IQ27" s="60"/>
      <c r="IR27" s="60"/>
      <c r="IS27" s="60"/>
    </row>
    <row r="28" spans="1:253" s="61" customFormat="1" ht="20.25" customHeight="1" x14ac:dyDescent="0.25">
      <c r="A28" s="58">
        <v>18050400</v>
      </c>
      <c r="B28" s="112" t="s">
        <v>71</v>
      </c>
      <c r="C28" s="122">
        <f t="shared" si="0"/>
        <v>5521000</v>
      </c>
      <c r="D28" s="123">
        <v>5521000</v>
      </c>
      <c r="E28" s="123"/>
      <c r="F28" s="123"/>
      <c r="G28" s="60"/>
      <c r="H28" s="60"/>
      <c r="I28" s="60"/>
      <c r="J28" s="60"/>
      <c r="K28" s="60"/>
      <c r="L28" s="60"/>
      <c r="IK28" s="60"/>
      <c r="IL28" s="60"/>
      <c r="IM28" s="60"/>
      <c r="IN28" s="60"/>
      <c r="IO28" s="60"/>
      <c r="IP28" s="60"/>
      <c r="IQ28" s="60"/>
      <c r="IR28" s="60"/>
      <c r="IS28" s="60"/>
    </row>
    <row r="29" spans="1:253" s="61" customFormat="1" ht="48.6" customHeight="1" x14ac:dyDescent="0.25">
      <c r="A29" s="58">
        <v>18050500</v>
      </c>
      <c r="B29" s="112" t="s">
        <v>72</v>
      </c>
      <c r="C29" s="122">
        <f t="shared" si="0"/>
        <v>1301200</v>
      </c>
      <c r="D29" s="123">
        <v>1301200</v>
      </c>
      <c r="E29" s="123"/>
      <c r="F29" s="123"/>
      <c r="G29" s="60"/>
      <c r="H29" s="60"/>
      <c r="I29" s="60"/>
      <c r="J29" s="60"/>
      <c r="K29" s="60"/>
      <c r="L29" s="60"/>
      <c r="IK29" s="60"/>
      <c r="IL29" s="60"/>
      <c r="IM29" s="60"/>
      <c r="IN29" s="60"/>
      <c r="IO29" s="60"/>
      <c r="IP29" s="60"/>
      <c r="IQ29" s="60"/>
      <c r="IR29" s="60"/>
      <c r="IS29" s="60"/>
    </row>
    <row r="30" spans="1:253" s="61" customFormat="1" ht="20.25" customHeight="1" x14ac:dyDescent="0.25">
      <c r="A30" s="110">
        <v>19000000</v>
      </c>
      <c r="B30" s="111" t="s">
        <v>11</v>
      </c>
      <c r="C30" s="124">
        <f t="shared" si="0"/>
        <v>156000</v>
      </c>
      <c r="D30" s="125">
        <f>D31+D32+D33</f>
        <v>0</v>
      </c>
      <c r="E30" s="125">
        <f>E31+E32+E33</f>
        <v>156000</v>
      </c>
      <c r="F30" s="125">
        <f>F31+F32+F33</f>
        <v>0</v>
      </c>
      <c r="G30" s="60"/>
      <c r="H30" s="60"/>
      <c r="I30" s="60"/>
      <c r="J30" s="60"/>
      <c r="K30" s="60"/>
      <c r="L30" s="60"/>
      <c r="IK30" s="60"/>
      <c r="IL30" s="60"/>
      <c r="IM30" s="60"/>
      <c r="IN30" s="60"/>
      <c r="IO30" s="60"/>
      <c r="IP30" s="60"/>
      <c r="IQ30" s="60"/>
      <c r="IR30" s="60"/>
      <c r="IS30" s="60"/>
    </row>
    <row r="31" spans="1:253" s="61" customFormat="1" ht="24.6" customHeight="1" x14ac:dyDescent="0.25">
      <c r="A31" s="58">
        <v>19010100</v>
      </c>
      <c r="B31" s="112" t="s">
        <v>73</v>
      </c>
      <c r="C31" s="122">
        <f t="shared" si="0"/>
        <v>40000</v>
      </c>
      <c r="D31" s="123"/>
      <c r="E31" s="123">
        <v>40000</v>
      </c>
      <c r="F31" s="123"/>
      <c r="G31" s="60"/>
      <c r="H31" s="60"/>
      <c r="I31" s="60"/>
      <c r="J31" s="60"/>
      <c r="K31" s="60"/>
      <c r="L31" s="60"/>
      <c r="IK31" s="60"/>
      <c r="IL31" s="60"/>
      <c r="IM31" s="60"/>
      <c r="IN31" s="60"/>
      <c r="IO31" s="60"/>
      <c r="IP31" s="60"/>
      <c r="IQ31" s="60"/>
      <c r="IR31" s="60"/>
      <c r="IS31" s="60"/>
    </row>
    <row r="32" spans="1:253" s="61" customFormat="1" ht="25.15" customHeight="1" x14ac:dyDescent="0.25">
      <c r="A32" s="58">
        <v>19010200</v>
      </c>
      <c r="B32" s="112" t="s">
        <v>74</v>
      </c>
      <c r="C32" s="122">
        <f t="shared" si="0"/>
        <v>34000</v>
      </c>
      <c r="D32" s="123"/>
      <c r="E32" s="123">
        <v>34000</v>
      </c>
      <c r="F32" s="123"/>
      <c r="G32" s="60"/>
      <c r="H32" s="60"/>
      <c r="I32" s="60"/>
      <c r="J32" s="60"/>
      <c r="K32" s="60"/>
      <c r="L32" s="60"/>
      <c r="IK32" s="60"/>
      <c r="IL32" s="60"/>
      <c r="IM32" s="60"/>
      <c r="IN32" s="60"/>
      <c r="IO32" s="60"/>
      <c r="IP32" s="60"/>
      <c r="IQ32" s="60"/>
      <c r="IR32" s="60"/>
      <c r="IS32" s="60"/>
    </row>
    <row r="33" spans="1:253" s="61" customFormat="1" ht="33.6" customHeight="1" x14ac:dyDescent="0.25">
      <c r="A33" s="58">
        <v>19010300</v>
      </c>
      <c r="B33" s="112" t="s">
        <v>75</v>
      </c>
      <c r="C33" s="122">
        <f t="shared" si="0"/>
        <v>82000</v>
      </c>
      <c r="D33" s="123"/>
      <c r="E33" s="123">
        <v>82000</v>
      </c>
      <c r="F33" s="123"/>
      <c r="G33" s="60"/>
      <c r="H33" s="60"/>
      <c r="I33" s="60"/>
      <c r="J33" s="60"/>
      <c r="K33" s="60"/>
      <c r="L33" s="60"/>
      <c r="IK33" s="60"/>
      <c r="IL33" s="60"/>
      <c r="IM33" s="60"/>
      <c r="IN33" s="60"/>
      <c r="IO33" s="60"/>
      <c r="IP33" s="60"/>
      <c r="IQ33" s="60"/>
      <c r="IR33" s="60"/>
      <c r="IS33" s="60"/>
    </row>
    <row r="34" spans="1:253" s="53" customFormat="1" ht="20.25" customHeight="1" x14ac:dyDescent="0.2">
      <c r="A34" s="49">
        <v>20000000</v>
      </c>
      <c r="B34" s="50" t="s">
        <v>12</v>
      </c>
      <c r="C34" s="120">
        <f t="shared" si="0"/>
        <v>4270030</v>
      </c>
      <c r="D34" s="126">
        <f>D35+D39+D48</f>
        <v>2624400</v>
      </c>
      <c r="E34" s="126">
        <f>E35+E39+E48</f>
        <v>1645630</v>
      </c>
      <c r="F34" s="126">
        <f>F35+F39+F48</f>
        <v>0</v>
      </c>
      <c r="G34" s="3"/>
      <c r="H34" s="3"/>
      <c r="I34" s="3"/>
      <c r="J34" s="3"/>
      <c r="K34" s="3"/>
      <c r="L34" s="3"/>
      <c r="IK34" s="3"/>
      <c r="IL34" s="3"/>
      <c r="IM34" s="3"/>
      <c r="IN34" s="3"/>
      <c r="IO34" s="3"/>
      <c r="IP34" s="3"/>
      <c r="IQ34" s="3"/>
      <c r="IR34" s="3"/>
      <c r="IS34" s="3"/>
    </row>
    <row r="35" spans="1:253" s="61" customFormat="1" ht="28.5" customHeight="1" x14ac:dyDescent="0.25">
      <c r="A35" s="110">
        <v>21000000</v>
      </c>
      <c r="B35" s="111" t="s">
        <v>13</v>
      </c>
      <c r="C35" s="124">
        <f t="shared" si="0"/>
        <v>52400</v>
      </c>
      <c r="D35" s="125">
        <f>D36</f>
        <v>52400</v>
      </c>
      <c r="E35" s="125">
        <f>E36</f>
        <v>0</v>
      </c>
      <c r="F35" s="125">
        <f>F36</f>
        <v>0</v>
      </c>
      <c r="G35" s="60"/>
      <c r="H35" s="60"/>
      <c r="I35" s="60"/>
      <c r="J35" s="60"/>
      <c r="K35" s="60"/>
      <c r="L35" s="60"/>
      <c r="IK35" s="60"/>
      <c r="IL35" s="60"/>
      <c r="IM35" s="60"/>
      <c r="IN35" s="60"/>
      <c r="IO35" s="60"/>
      <c r="IP35" s="60"/>
      <c r="IQ35" s="60"/>
      <c r="IR35" s="60"/>
      <c r="IS35" s="60"/>
    </row>
    <row r="36" spans="1:253" s="61" customFormat="1" ht="16.899999999999999" customHeight="1" x14ac:dyDescent="0.25">
      <c r="A36" s="110">
        <v>21080000</v>
      </c>
      <c r="B36" s="111" t="s">
        <v>76</v>
      </c>
      <c r="C36" s="120">
        <f t="shared" si="0"/>
        <v>52400</v>
      </c>
      <c r="D36" s="125">
        <f>D37+D38</f>
        <v>52400</v>
      </c>
      <c r="E36" s="125">
        <f>E37+E38</f>
        <v>0</v>
      </c>
      <c r="F36" s="125">
        <f>F37+F38</f>
        <v>0</v>
      </c>
      <c r="G36" s="60"/>
      <c r="H36" s="60"/>
      <c r="I36" s="60"/>
      <c r="J36" s="60"/>
      <c r="K36" s="60"/>
      <c r="L36" s="60"/>
      <c r="IK36" s="60"/>
      <c r="IL36" s="60"/>
      <c r="IM36" s="60"/>
      <c r="IN36" s="60"/>
      <c r="IO36" s="60"/>
      <c r="IP36" s="60"/>
      <c r="IQ36" s="60"/>
      <c r="IR36" s="60"/>
      <c r="IS36" s="60"/>
    </row>
    <row r="37" spans="1:253" s="61" customFormat="1" ht="17.45" customHeight="1" x14ac:dyDescent="0.25">
      <c r="A37" s="58">
        <v>21081100</v>
      </c>
      <c r="B37" s="112" t="s">
        <v>77</v>
      </c>
      <c r="C37" s="122">
        <f t="shared" si="0"/>
        <v>8100</v>
      </c>
      <c r="D37" s="123">
        <v>8100</v>
      </c>
      <c r="E37" s="125"/>
      <c r="F37" s="125"/>
      <c r="G37" s="60"/>
      <c r="H37" s="60"/>
      <c r="I37" s="60"/>
      <c r="J37" s="60"/>
      <c r="K37" s="60"/>
      <c r="L37" s="60"/>
      <c r="IK37" s="60"/>
      <c r="IL37" s="60"/>
      <c r="IM37" s="60"/>
      <c r="IN37" s="60"/>
      <c r="IO37" s="60"/>
      <c r="IP37" s="60"/>
      <c r="IQ37" s="60"/>
      <c r="IR37" s="60"/>
      <c r="IS37" s="60"/>
    </row>
    <row r="38" spans="1:253" s="61" customFormat="1" ht="32.450000000000003" customHeight="1" x14ac:dyDescent="0.25">
      <c r="A38" s="58">
        <v>21081500</v>
      </c>
      <c r="B38" s="112" t="s">
        <v>78</v>
      </c>
      <c r="C38" s="122">
        <f t="shared" si="0"/>
        <v>44300</v>
      </c>
      <c r="D38" s="123">
        <v>44300</v>
      </c>
      <c r="E38" s="123"/>
      <c r="F38" s="123"/>
      <c r="G38" s="60"/>
      <c r="H38" s="60"/>
      <c r="I38" s="60"/>
      <c r="J38" s="60"/>
      <c r="K38" s="60"/>
      <c r="L38" s="60"/>
      <c r="IK38" s="60"/>
      <c r="IL38" s="60"/>
      <c r="IM38" s="60"/>
      <c r="IN38" s="60"/>
      <c r="IO38" s="60"/>
      <c r="IP38" s="60"/>
      <c r="IQ38" s="60"/>
      <c r="IR38" s="60"/>
      <c r="IS38" s="60"/>
    </row>
    <row r="39" spans="1:253" s="61" customFormat="1" ht="29.25" customHeight="1" x14ac:dyDescent="0.25">
      <c r="A39" s="95">
        <v>22000000</v>
      </c>
      <c r="B39" s="113" t="s">
        <v>14</v>
      </c>
      <c r="C39" s="120">
        <f t="shared" si="0"/>
        <v>2572000</v>
      </c>
      <c r="D39" s="121">
        <f>D40+D43+D45</f>
        <v>2572000</v>
      </c>
      <c r="E39" s="121"/>
      <c r="F39" s="121"/>
      <c r="G39" s="60"/>
      <c r="H39" s="60"/>
      <c r="I39" s="60"/>
      <c r="J39" s="60"/>
      <c r="K39" s="60"/>
      <c r="L39" s="60"/>
      <c r="IK39" s="60"/>
      <c r="IL39" s="60"/>
      <c r="IM39" s="60"/>
      <c r="IN39" s="60"/>
      <c r="IO39" s="60"/>
      <c r="IP39" s="60"/>
      <c r="IQ39" s="60"/>
      <c r="IR39" s="60"/>
      <c r="IS39" s="60"/>
    </row>
    <row r="40" spans="1:253" s="61" customFormat="1" ht="13.15" customHeight="1" x14ac:dyDescent="0.25">
      <c r="A40" s="110">
        <v>22010000</v>
      </c>
      <c r="B40" s="111" t="s">
        <v>79</v>
      </c>
      <c r="C40" s="124">
        <f t="shared" si="0"/>
        <v>2292000</v>
      </c>
      <c r="D40" s="125">
        <f>D41+D42</f>
        <v>2292000</v>
      </c>
      <c r="E40" s="125"/>
      <c r="F40" s="125"/>
      <c r="G40" s="60"/>
      <c r="H40" s="60"/>
      <c r="I40" s="60"/>
      <c r="J40" s="60"/>
      <c r="K40" s="60"/>
      <c r="L40" s="60"/>
      <c r="IK40" s="60"/>
      <c r="IL40" s="60"/>
      <c r="IM40" s="60"/>
      <c r="IN40" s="60"/>
      <c r="IO40" s="60"/>
      <c r="IP40" s="60"/>
      <c r="IQ40" s="60"/>
      <c r="IR40" s="60"/>
      <c r="IS40" s="60"/>
    </row>
    <row r="41" spans="1:253" s="61" customFormat="1" ht="16.149999999999999" customHeight="1" x14ac:dyDescent="0.25">
      <c r="A41" s="58">
        <v>22012500</v>
      </c>
      <c r="B41" s="112" t="s">
        <v>80</v>
      </c>
      <c r="C41" s="122">
        <f t="shared" si="0"/>
        <v>2177000</v>
      </c>
      <c r="D41" s="123">
        <v>2177000</v>
      </c>
      <c r="E41" s="123"/>
      <c r="F41" s="123"/>
      <c r="G41" s="60"/>
      <c r="H41" s="60"/>
      <c r="I41" s="60"/>
      <c r="J41" s="60"/>
      <c r="K41" s="60"/>
      <c r="L41" s="60"/>
      <c r="IK41" s="60"/>
      <c r="IL41" s="60"/>
      <c r="IM41" s="60"/>
      <c r="IN41" s="60"/>
      <c r="IO41" s="60"/>
      <c r="IP41" s="60"/>
      <c r="IQ41" s="60"/>
      <c r="IR41" s="60"/>
      <c r="IS41" s="60"/>
    </row>
    <row r="42" spans="1:253" s="61" customFormat="1" ht="21.6" customHeight="1" x14ac:dyDescent="0.25">
      <c r="A42" s="58">
        <v>22012600</v>
      </c>
      <c r="B42" s="112" t="s">
        <v>81</v>
      </c>
      <c r="C42" s="122">
        <f t="shared" si="0"/>
        <v>115000</v>
      </c>
      <c r="D42" s="123">
        <v>115000</v>
      </c>
      <c r="E42" s="123"/>
      <c r="F42" s="123"/>
      <c r="G42" s="60"/>
      <c r="H42" s="60"/>
      <c r="I42" s="60"/>
      <c r="J42" s="60"/>
      <c r="K42" s="60"/>
      <c r="L42" s="60"/>
      <c r="IK42" s="60"/>
      <c r="IL42" s="60"/>
      <c r="IM42" s="60"/>
      <c r="IN42" s="60"/>
      <c r="IO42" s="60"/>
      <c r="IP42" s="60"/>
      <c r="IQ42" s="60"/>
      <c r="IR42" s="60"/>
      <c r="IS42" s="60"/>
    </row>
    <row r="43" spans="1:253" s="61" customFormat="1" ht="21" customHeight="1" x14ac:dyDescent="0.25">
      <c r="A43" s="110">
        <v>22080000</v>
      </c>
      <c r="B43" s="115" t="s">
        <v>82</v>
      </c>
      <c r="C43" s="120">
        <f t="shared" si="0"/>
        <v>128200</v>
      </c>
      <c r="D43" s="121">
        <f>D44</f>
        <v>128200</v>
      </c>
      <c r="E43" s="123"/>
      <c r="F43" s="123"/>
      <c r="G43" s="60"/>
      <c r="H43" s="60"/>
      <c r="I43" s="60"/>
      <c r="J43" s="60"/>
      <c r="K43" s="60"/>
      <c r="L43" s="60"/>
      <c r="IK43" s="60"/>
      <c r="IL43" s="60"/>
      <c r="IM43" s="60"/>
      <c r="IN43" s="60"/>
      <c r="IO43" s="60"/>
      <c r="IP43" s="60"/>
      <c r="IQ43" s="60"/>
      <c r="IR43" s="60"/>
      <c r="IS43" s="60"/>
    </row>
    <row r="44" spans="1:253" s="61" customFormat="1" ht="36" customHeight="1" x14ac:dyDescent="0.25">
      <c r="A44" s="58">
        <v>22080400</v>
      </c>
      <c r="B44" s="112" t="s">
        <v>83</v>
      </c>
      <c r="C44" s="122">
        <f t="shared" si="0"/>
        <v>128200</v>
      </c>
      <c r="D44" s="123">
        <v>128200</v>
      </c>
      <c r="E44" s="123"/>
      <c r="F44" s="123"/>
      <c r="G44" s="60"/>
      <c r="H44" s="60"/>
      <c r="I44" s="60"/>
      <c r="J44" s="60"/>
      <c r="K44" s="60"/>
      <c r="L44" s="60"/>
      <c r="IK44" s="60"/>
      <c r="IL44" s="60"/>
      <c r="IM44" s="60"/>
      <c r="IN44" s="60"/>
      <c r="IO44" s="60"/>
      <c r="IP44" s="60"/>
      <c r="IQ44" s="60"/>
      <c r="IR44" s="60"/>
      <c r="IS44" s="60"/>
    </row>
    <row r="45" spans="1:253" s="61" customFormat="1" ht="16.149999999999999" customHeight="1" x14ac:dyDescent="0.25">
      <c r="A45" s="110">
        <v>22090000</v>
      </c>
      <c r="B45" s="115" t="s">
        <v>84</v>
      </c>
      <c r="C45" s="124">
        <f t="shared" si="0"/>
        <v>151800</v>
      </c>
      <c r="D45" s="125">
        <f>D46+D47</f>
        <v>151800</v>
      </c>
      <c r="E45" s="125"/>
      <c r="F45" s="125"/>
      <c r="G45" s="60"/>
      <c r="H45" s="60"/>
      <c r="I45" s="60"/>
      <c r="J45" s="60"/>
      <c r="K45" s="60"/>
      <c r="L45" s="60"/>
      <c r="IK45" s="60"/>
      <c r="IL45" s="60"/>
      <c r="IM45" s="60"/>
      <c r="IN45" s="60"/>
      <c r="IO45" s="60"/>
      <c r="IP45" s="60"/>
      <c r="IQ45" s="60"/>
      <c r="IR45" s="60"/>
      <c r="IS45" s="60"/>
    </row>
    <row r="46" spans="1:253" s="61" customFormat="1" ht="34.15" customHeight="1" x14ac:dyDescent="0.25">
      <c r="A46" s="58">
        <v>22090100</v>
      </c>
      <c r="B46" s="112" t="s">
        <v>85</v>
      </c>
      <c r="C46" s="122">
        <f t="shared" si="0"/>
        <v>104100</v>
      </c>
      <c r="D46" s="123">
        <v>104100</v>
      </c>
      <c r="E46" s="123"/>
      <c r="F46" s="123"/>
      <c r="G46" s="60"/>
      <c r="H46" s="60"/>
      <c r="I46" s="60"/>
      <c r="J46" s="60"/>
      <c r="K46" s="60"/>
      <c r="L46" s="60"/>
      <c r="IK46" s="60"/>
      <c r="IL46" s="60"/>
      <c r="IM46" s="60"/>
      <c r="IN46" s="60"/>
      <c r="IO46" s="60"/>
      <c r="IP46" s="60"/>
      <c r="IQ46" s="60"/>
      <c r="IR46" s="60"/>
      <c r="IS46" s="60"/>
    </row>
    <row r="47" spans="1:253" s="61" customFormat="1" ht="25.9" customHeight="1" x14ac:dyDescent="0.25">
      <c r="A47" s="58">
        <v>22090400</v>
      </c>
      <c r="B47" s="112" t="s">
        <v>86</v>
      </c>
      <c r="C47" s="122">
        <f t="shared" si="0"/>
        <v>47700</v>
      </c>
      <c r="D47" s="123">
        <v>47700</v>
      </c>
      <c r="E47" s="123"/>
      <c r="F47" s="123"/>
      <c r="G47" s="60"/>
      <c r="H47" s="60"/>
      <c r="I47" s="60"/>
      <c r="J47" s="60"/>
      <c r="K47" s="60"/>
      <c r="L47" s="60"/>
      <c r="IK47" s="60"/>
      <c r="IL47" s="60"/>
      <c r="IM47" s="60"/>
      <c r="IN47" s="60"/>
      <c r="IO47" s="60"/>
      <c r="IP47" s="60"/>
      <c r="IQ47" s="60"/>
      <c r="IR47" s="60"/>
      <c r="IS47" s="60"/>
    </row>
    <row r="48" spans="1:253" s="61" customFormat="1" ht="16.899999999999999" customHeight="1" x14ac:dyDescent="0.25">
      <c r="A48" s="95">
        <v>25000000</v>
      </c>
      <c r="B48" s="113" t="s">
        <v>37</v>
      </c>
      <c r="C48" s="120">
        <f t="shared" si="0"/>
        <v>1645630</v>
      </c>
      <c r="D48" s="120">
        <f>D49+D50+D51</f>
        <v>0</v>
      </c>
      <c r="E48" s="120">
        <f>E49</f>
        <v>1645630</v>
      </c>
      <c r="F48" s="122">
        <f>F49+F50+F51</f>
        <v>0</v>
      </c>
      <c r="G48" s="60"/>
      <c r="H48" s="60"/>
      <c r="I48" s="60"/>
      <c r="J48" s="60"/>
      <c r="K48" s="60"/>
      <c r="L48" s="60"/>
      <c r="IK48" s="60"/>
      <c r="IL48" s="60"/>
      <c r="IM48" s="60"/>
      <c r="IN48" s="60"/>
      <c r="IO48" s="60"/>
      <c r="IP48" s="60"/>
      <c r="IQ48" s="60"/>
      <c r="IR48" s="60"/>
      <c r="IS48" s="60"/>
    </row>
    <row r="49" spans="1:253" s="61" customFormat="1" ht="24.6" customHeight="1" x14ac:dyDescent="0.25">
      <c r="A49" s="114">
        <v>25010000</v>
      </c>
      <c r="B49" s="117" t="s">
        <v>87</v>
      </c>
      <c r="C49" s="122">
        <f t="shared" si="0"/>
        <v>1645630</v>
      </c>
      <c r="D49" s="122"/>
      <c r="E49" s="122">
        <f>E50+E51</f>
        <v>1645630</v>
      </c>
      <c r="F49" s="122"/>
      <c r="G49" s="60"/>
      <c r="H49" s="60"/>
      <c r="I49" s="60"/>
      <c r="J49" s="60"/>
      <c r="K49" s="60"/>
      <c r="L49" s="60"/>
      <c r="IK49" s="60"/>
      <c r="IL49" s="60"/>
      <c r="IM49" s="60"/>
      <c r="IN49" s="60"/>
      <c r="IO49" s="60"/>
      <c r="IP49" s="60"/>
      <c r="IQ49" s="60"/>
      <c r="IR49" s="60"/>
      <c r="IS49" s="60"/>
    </row>
    <row r="50" spans="1:253" s="61" customFormat="1" ht="24.6" customHeight="1" x14ac:dyDescent="0.25">
      <c r="A50" s="58">
        <v>25010100</v>
      </c>
      <c r="B50" s="117" t="s">
        <v>88</v>
      </c>
      <c r="C50" s="122">
        <f t="shared" si="0"/>
        <v>1630030</v>
      </c>
      <c r="D50" s="122"/>
      <c r="E50" s="122">
        <v>1630030</v>
      </c>
      <c r="F50" s="122"/>
      <c r="G50" s="60"/>
      <c r="H50" s="60"/>
      <c r="I50" s="60"/>
      <c r="J50" s="60"/>
      <c r="K50" s="60"/>
      <c r="L50" s="60"/>
      <c r="IK50" s="60"/>
      <c r="IL50" s="60"/>
      <c r="IM50" s="60"/>
      <c r="IN50" s="60"/>
      <c r="IO50" s="60"/>
      <c r="IP50" s="60"/>
      <c r="IQ50" s="60"/>
      <c r="IR50" s="60"/>
      <c r="IS50" s="60"/>
    </row>
    <row r="51" spans="1:253" s="61" customFormat="1" ht="13.9" customHeight="1" x14ac:dyDescent="0.25">
      <c r="A51" s="58">
        <v>25010300</v>
      </c>
      <c r="B51" s="118" t="s">
        <v>89</v>
      </c>
      <c r="C51" s="122">
        <f t="shared" si="0"/>
        <v>15600</v>
      </c>
      <c r="D51" s="122"/>
      <c r="E51" s="122">
        <v>15600</v>
      </c>
      <c r="F51" s="122"/>
      <c r="G51" s="60"/>
      <c r="H51" s="60"/>
      <c r="I51" s="60"/>
      <c r="J51" s="60"/>
      <c r="K51" s="60"/>
      <c r="L51" s="60"/>
      <c r="IK51" s="60"/>
      <c r="IL51" s="60"/>
      <c r="IM51" s="60"/>
      <c r="IN51" s="60"/>
      <c r="IO51" s="60"/>
      <c r="IP51" s="60"/>
      <c r="IQ51" s="60"/>
      <c r="IR51" s="60"/>
      <c r="IS51" s="60"/>
    </row>
    <row r="52" spans="1:253" s="53" customFormat="1" ht="15.6" customHeight="1" x14ac:dyDescent="0.2">
      <c r="A52" s="49">
        <v>30000000</v>
      </c>
      <c r="B52" s="50" t="s">
        <v>17</v>
      </c>
      <c r="C52" s="120">
        <f t="shared" si="0"/>
        <v>450000</v>
      </c>
      <c r="D52" s="197">
        <f>D53+D55</f>
        <v>10000</v>
      </c>
      <c r="E52" s="197">
        <f>E53+E55</f>
        <v>440000</v>
      </c>
      <c r="F52" s="197">
        <f>F53+F55</f>
        <v>440000</v>
      </c>
      <c r="G52" s="3"/>
      <c r="H52" s="3"/>
      <c r="I52" s="3"/>
      <c r="J52" s="3"/>
      <c r="K52" s="3"/>
      <c r="L52" s="3"/>
      <c r="IK52" s="3"/>
      <c r="IL52" s="3"/>
      <c r="IM52" s="3"/>
      <c r="IN52" s="3"/>
      <c r="IO52" s="3"/>
      <c r="IP52" s="3"/>
      <c r="IQ52" s="3"/>
      <c r="IR52" s="3"/>
      <c r="IS52" s="3"/>
    </row>
    <row r="53" spans="1:253" s="61" customFormat="1" ht="14.45" customHeight="1" x14ac:dyDescent="0.25">
      <c r="A53" s="110">
        <v>31000000</v>
      </c>
      <c r="B53" s="111" t="s">
        <v>18</v>
      </c>
      <c r="C53" s="124">
        <f t="shared" si="0"/>
        <v>10000</v>
      </c>
      <c r="D53" s="125">
        <f>D54</f>
        <v>10000</v>
      </c>
      <c r="E53" s="127">
        <f>F53</f>
        <v>0</v>
      </c>
      <c r="F53" s="123"/>
      <c r="G53" s="60"/>
      <c r="H53" s="60"/>
      <c r="I53" s="60"/>
      <c r="J53" s="60"/>
      <c r="K53" s="60"/>
      <c r="L53" s="60"/>
      <c r="IK53" s="60"/>
      <c r="IL53" s="60"/>
      <c r="IM53" s="60"/>
      <c r="IN53" s="60"/>
      <c r="IO53" s="60"/>
      <c r="IP53" s="60"/>
      <c r="IQ53" s="60"/>
      <c r="IR53" s="60"/>
      <c r="IS53" s="60"/>
    </row>
    <row r="54" spans="1:253" s="61" customFormat="1" ht="46.15" customHeight="1" x14ac:dyDescent="0.25">
      <c r="A54" s="58">
        <v>31010200</v>
      </c>
      <c r="B54" s="116" t="s">
        <v>90</v>
      </c>
      <c r="C54" s="122">
        <f t="shared" si="0"/>
        <v>10000</v>
      </c>
      <c r="D54" s="123">
        <v>10000</v>
      </c>
      <c r="E54" s="127">
        <f>F54</f>
        <v>0</v>
      </c>
      <c r="F54" s="123"/>
      <c r="G54" s="60"/>
      <c r="H54" s="60"/>
      <c r="I54" s="60"/>
      <c r="J54" s="60"/>
      <c r="K54" s="60"/>
      <c r="L54" s="60"/>
      <c r="IK54" s="60"/>
      <c r="IL54" s="60"/>
      <c r="IM54" s="60"/>
      <c r="IN54" s="60"/>
      <c r="IO54" s="60"/>
      <c r="IP54" s="60"/>
      <c r="IQ54" s="60"/>
      <c r="IR54" s="60"/>
      <c r="IS54" s="60"/>
    </row>
    <row r="55" spans="1:253" s="61" customFormat="1" ht="15" customHeight="1" x14ac:dyDescent="0.25">
      <c r="A55" s="110">
        <v>33000000</v>
      </c>
      <c r="B55" s="115" t="s">
        <v>38</v>
      </c>
      <c r="C55" s="124">
        <f t="shared" si="0"/>
        <v>440000</v>
      </c>
      <c r="D55" s="125"/>
      <c r="E55" s="128">
        <f>F55</f>
        <v>440000</v>
      </c>
      <c r="F55" s="125">
        <f>F56</f>
        <v>440000</v>
      </c>
      <c r="G55" s="60"/>
      <c r="H55" s="60"/>
      <c r="I55" s="60"/>
      <c r="J55" s="60"/>
      <c r="K55" s="60"/>
      <c r="L55" s="60"/>
      <c r="IK55" s="60"/>
      <c r="IL55" s="60"/>
      <c r="IM55" s="60"/>
      <c r="IN55" s="60"/>
      <c r="IO55" s="60"/>
      <c r="IP55" s="60"/>
      <c r="IQ55" s="60"/>
      <c r="IR55" s="60"/>
      <c r="IS55" s="60"/>
    </row>
    <row r="56" spans="1:253" s="61" customFormat="1" ht="15" customHeight="1" x14ac:dyDescent="0.25">
      <c r="A56" s="110">
        <v>33010000</v>
      </c>
      <c r="B56" s="119" t="s">
        <v>91</v>
      </c>
      <c r="C56" s="124"/>
      <c r="D56" s="125"/>
      <c r="E56" s="128">
        <f>F56</f>
        <v>440000</v>
      </c>
      <c r="F56" s="125">
        <f>F57</f>
        <v>440000</v>
      </c>
      <c r="G56" s="60"/>
      <c r="H56" s="60"/>
      <c r="I56" s="60"/>
      <c r="J56" s="60"/>
      <c r="K56" s="60"/>
      <c r="L56" s="60"/>
      <c r="IK56" s="60"/>
      <c r="IL56" s="60"/>
      <c r="IM56" s="60"/>
      <c r="IN56" s="60"/>
      <c r="IO56" s="60"/>
      <c r="IP56" s="60"/>
      <c r="IQ56" s="60"/>
      <c r="IR56" s="60"/>
      <c r="IS56" s="60"/>
    </row>
    <row r="57" spans="1:253" s="61" customFormat="1" ht="46.9" customHeight="1" x14ac:dyDescent="0.25">
      <c r="A57" s="58">
        <v>33010100</v>
      </c>
      <c r="B57" s="117" t="s">
        <v>92</v>
      </c>
      <c r="C57" s="122">
        <f t="shared" si="0"/>
        <v>440000</v>
      </c>
      <c r="D57" s="123"/>
      <c r="E57" s="127">
        <f>F57</f>
        <v>440000</v>
      </c>
      <c r="F57" s="123">
        <f>40000+400000</f>
        <v>440000</v>
      </c>
      <c r="G57" s="60"/>
      <c r="H57" s="60"/>
      <c r="I57" s="60"/>
      <c r="J57" s="60"/>
      <c r="K57" s="60"/>
      <c r="L57" s="60"/>
      <c r="IK57" s="60"/>
      <c r="IL57" s="60"/>
      <c r="IM57" s="60"/>
      <c r="IN57" s="60"/>
      <c r="IO57" s="60"/>
      <c r="IP57" s="60"/>
      <c r="IQ57" s="60"/>
      <c r="IR57" s="60"/>
      <c r="IS57" s="60"/>
    </row>
    <row r="58" spans="1:253" s="55" customFormat="1" ht="20.25" customHeight="1" x14ac:dyDescent="0.2">
      <c r="A58" s="49">
        <v>40000000</v>
      </c>
      <c r="B58" s="50" t="s">
        <v>7</v>
      </c>
      <c r="C58" s="120">
        <f t="shared" si="0"/>
        <v>26273776</v>
      </c>
      <c r="D58" s="129">
        <f>D59</f>
        <v>26273776</v>
      </c>
      <c r="E58" s="129">
        <f t="shared" ref="E58:F60" si="1">E59</f>
        <v>0</v>
      </c>
      <c r="F58" s="129">
        <f t="shared" si="1"/>
        <v>0</v>
      </c>
      <c r="G58" s="54"/>
      <c r="H58" s="54"/>
      <c r="I58" s="54"/>
      <c r="J58" s="54"/>
      <c r="K58" s="54"/>
      <c r="L58" s="54"/>
      <c r="IK58" s="54"/>
      <c r="IL58" s="54"/>
      <c r="IM58" s="54"/>
      <c r="IN58" s="54"/>
      <c r="IO58" s="54"/>
      <c r="IP58" s="54"/>
      <c r="IQ58" s="54"/>
      <c r="IR58" s="54"/>
      <c r="IS58" s="54"/>
    </row>
    <row r="59" spans="1:253" s="61" customFormat="1" ht="20.25" customHeight="1" x14ac:dyDescent="0.25">
      <c r="A59" s="95">
        <v>41000000</v>
      </c>
      <c r="B59" s="113" t="s">
        <v>39</v>
      </c>
      <c r="C59" s="120">
        <f t="shared" si="0"/>
        <v>26273776</v>
      </c>
      <c r="D59" s="121">
        <f>D60+D62</f>
        <v>26273776</v>
      </c>
      <c r="E59" s="121">
        <f>E60+E62</f>
        <v>0</v>
      </c>
      <c r="F59" s="121">
        <f>F60+F62</f>
        <v>0</v>
      </c>
      <c r="G59" s="60"/>
      <c r="H59" s="60"/>
      <c r="I59" s="60"/>
      <c r="J59" s="60"/>
      <c r="K59" s="60"/>
      <c r="L59" s="60"/>
      <c r="IK59" s="60"/>
      <c r="IL59" s="60"/>
      <c r="IM59" s="60"/>
      <c r="IN59" s="60"/>
      <c r="IO59" s="60"/>
      <c r="IP59" s="60"/>
      <c r="IQ59" s="60"/>
      <c r="IR59" s="60"/>
      <c r="IS59" s="60"/>
    </row>
    <row r="60" spans="1:253" s="61" customFormat="1" ht="27.6" customHeight="1" x14ac:dyDescent="0.25">
      <c r="A60" s="110">
        <v>41040000</v>
      </c>
      <c r="B60" s="111" t="s">
        <v>178</v>
      </c>
      <c r="C60" s="124">
        <f t="shared" si="0"/>
        <v>24357000</v>
      </c>
      <c r="D60" s="124">
        <f>D61</f>
        <v>24357000</v>
      </c>
      <c r="E60" s="124">
        <f t="shared" si="1"/>
        <v>0</v>
      </c>
      <c r="F60" s="124">
        <f t="shared" si="1"/>
        <v>0</v>
      </c>
      <c r="G60" s="60"/>
      <c r="H60" s="60"/>
      <c r="I60" s="60"/>
      <c r="J60" s="60"/>
      <c r="K60" s="60"/>
      <c r="L60" s="60"/>
      <c r="IK60" s="60"/>
      <c r="IL60" s="60"/>
      <c r="IM60" s="60"/>
      <c r="IN60" s="60"/>
      <c r="IO60" s="60"/>
      <c r="IP60" s="60"/>
      <c r="IQ60" s="60"/>
      <c r="IR60" s="60"/>
      <c r="IS60" s="60"/>
    </row>
    <row r="61" spans="1:253" s="61" customFormat="1" ht="27" customHeight="1" x14ac:dyDescent="0.25">
      <c r="A61" s="58">
        <v>41040400</v>
      </c>
      <c r="B61" s="169" t="s">
        <v>174</v>
      </c>
      <c r="C61" s="122">
        <f t="shared" si="0"/>
        <v>24357000</v>
      </c>
      <c r="D61" s="122">
        <f>19343400+5013600</f>
        <v>24357000</v>
      </c>
      <c r="E61" s="122"/>
      <c r="F61" s="122"/>
      <c r="G61" s="60"/>
      <c r="H61" s="60"/>
      <c r="I61" s="60"/>
      <c r="J61" s="60"/>
      <c r="K61" s="60"/>
      <c r="L61" s="60"/>
      <c r="IK61" s="60"/>
      <c r="IL61" s="60"/>
      <c r="IM61" s="60"/>
      <c r="IN61" s="60"/>
      <c r="IO61" s="60"/>
      <c r="IP61" s="60"/>
      <c r="IQ61" s="60"/>
      <c r="IR61" s="60"/>
      <c r="IS61" s="60"/>
    </row>
    <row r="62" spans="1:253" s="61" customFormat="1" ht="31.9" customHeight="1" x14ac:dyDescent="0.25">
      <c r="A62" s="170">
        <v>41050000</v>
      </c>
      <c r="B62" s="186" t="s">
        <v>177</v>
      </c>
      <c r="C62" s="171">
        <f t="shared" si="0"/>
        <v>1916776</v>
      </c>
      <c r="D62" s="171">
        <f>D63</f>
        <v>1916776</v>
      </c>
      <c r="E62" s="122">
        <f>E63</f>
        <v>0</v>
      </c>
      <c r="F62" s="122">
        <f>F63</f>
        <v>0</v>
      </c>
      <c r="G62" s="60"/>
      <c r="H62" s="60"/>
      <c r="I62" s="60"/>
      <c r="J62" s="60"/>
      <c r="K62" s="60"/>
      <c r="L62" s="60"/>
      <c r="IK62" s="60"/>
      <c r="IL62" s="60"/>
      <c r="IM62" s="60"/>
      <c r="IN62" s="60"/>
      <c r="IO62" s="60"/>
      <c r="IP62" s="60"/>
      <c r="IQ62" s="60"/>
      <c r="IR62" s="60"/>
      <c r="IS62" s="60"/>
    </row>
    <row r="63" spans="1:253" s="61" customFormat="1" ht="20.25" customHeight="1" x14ac:dyDescent="0.25">
      <c r="A63" s="172">
        <v>41053900</v>
      </c>
      <c r="B63" s="185" t="s">
        <v>175</v>
      </c>
      <c r="C63" s="173">
        <f t="shared" si="0"/>
        <v>1916776</v>
      </c>
      <c r="D63" s="173">
        <f>1910000-1500000+1506776</f>
        <v>1916776</v>
      </c>
      <c r="E63" s="122"/>
      <c r="F63" s="122"/>
      <c r="G63" s="60"/>
      <c r="H63" s="60"/>
      <c r="I63" s="60"/>
      <c r="J63" s="60"/>
      <c r="K63" s="60"/>
      <c r="L63" s="60"/>
      <c r="IK63" s="60"/>
      <c r="IL63" s="60"/>
      <c r="IM63" s="60"/>
      <c r="IN63" s="60"/>
      <c r="IO63" s="60"/>
      <c r="IP63" s="60"/>
      <c r="IQ63" s="60"/>
      <c r="IR63" s="60"/>
      <c r="IS63" s="60"/>
    </row>
    <row r="64" spans="1:253" s="53" customFormat="1" ht="27.75" customHeight="1" x14ac:dyDescent="0.2">
      <c r="A64" s="56"/>
      <c r="B64" s="89" t="s">
        <v>40</v>
      </c>
      <c r="C64" s="120">
        <f t="shared" si="0"/>
        <v>63327906</v>
      </c>
      <c r="D64" s="126">
        <f>D6+D34+D52+D58</f>
        <v>61086276</v>
      </c>
      <c r="E64" s="126">
        <f>E6+E34+E52+E58</f>
        <v>2241630</v>
      </c>
      <c r="F64" s="126">
        <f>F6+F34+F52+F58</f>
        <v>440000</v>
      </c>
      <c r="G64" s="3"/>
      <c r="H64" s="3"/>
      <c r="I64" s="3"/>
      <c r="J64" s="3"/>
      <c r="K64" s="3"/>
      <c r="L64" s="3"/>
      <c r="IK64" s="3"/>
      <c r="IL64" s="3"/>
      <c r="IM64" s="3"/>
      <c r="IN64" s="3"/>
      <c r="IO64" s="3"/>
      <c r="IP64" s="3"/>
      <c r="IQ64" s="3"/>
      <c r="IR64" s="3"/>
      <c r="IS64" s="3"/>
    </row>
    <row r="66" spans="2:6" ht="18.600000000000001" customHeight="1" x14ac:dyDescent="0.3">
      <c r="B66" s="222" t="s">
        <v>93</v>
      </c>
      <c r="C66" s="222"/>
      <c r="D66" s="222"/>
      <c r="E66" s="222"/>
      <c r="F66" s="222"/>
    </row>
  </sheetData>
  <mergeCells count="8">
    <mergeCell ref="C1:F1"/>
    <mergeCell ref="B66:F66"/>
    <mergeCell ref="B4:B5"/>
    <mergeCell ref="A2:E2"/>
    <mergeCell ref="C4:C5"/>
    <mergeCell ref="D4:D5"/>
    <mergeCell ref="E4:F4"/>
    <mergeCell ref="A4:A5"/>
  </mergeCells>
  <phoneticPr fontId="2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85" fitToHeight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showZeros="0" topLeftCell="A4" workbookViewId="0">
      <selection activeCell="F13" sqref="F13"/>
    </sheetView>
  </sheetViews>
  <sheetFormatPr defaultColWidth="9.1640625" defaultRowHeight="12.75" customHeight="1" x14ac:dyDescent="0.2"/>
  <cols>
    <col min="1" max="1" width="9.5" style="2" customWidth="1"/>
    <col min="2" max="2" width="46.33203125" style="2" customWidth="1"/>
    <col min="3" max="3" width="13" style="2" customWidth="1"/>
    <col min="4" max="4" width="14.5" style="2" customWidth="1"/>
    <col min="5" max="5" width="14.33203125" style="2" customWidth="1"/>
    <col min="6" max="6" width="14.1640625" style="2" customWidth="1"/>
    <col min="7" max="12" width="9.1640625" style="2" customWidth="1"/>
    <col min="13" max="16384" width="9.1640625" style="4"/>
  </cols>
  <sheetData>
    <row r="1" spans="1:13" s="44" customFormat="1" ht="12.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1:13" ht="78.75" customHeight="1" x14ac:dyDescent="0.2">
      <c r="C3" s="221" t="s">
        <v>232</v>
      </c>
      <c r="D3" s="221"/>
      <c r="E3" s="221"/>
      <c r="F3" s="221"/>
      <c r="M3" s="2"/>
    </row>
    <row r="4" spans="1:13" ht="36" customHeight="1" x14ac:dyDescent="0.2">
      <c r="A4" s="226" t="s">
        <v>141</v>
      </c>
      <c r="B4" s="226"/>
      <c r="C4" s="226"/>
      <c r="D4" s="226"/>
      <c r="E4" s="226"/>
      <c r="F4" s="226"/>
    </row>
    <row r="5" spans="1:13" ht="12.75" customHeight="1" x14ac:dyDescent="0.2">
      <c r="A5" s="227"/>
      <c r="B5" s="227"/>
      <c r="C5" s="227"/>
      <c r="D5" s="227"/>
      <c r="E5" s="227"/>
      <c r="F5" s="71" t="s">
        <v>94</v>
      </c>
    </row>
    <row r="6" spans="1:13" s="33" customFormat="1" ht="24.75" customHeight="1" x14ac:dyDescent="0.2">
      <c r="A6" s="223" t="s">
        <v>0</v>
      </c>
      <c r="B6" s="223" t="s">
        <v>1</v>
      </c>
      <c r="C6" s="223" t="s">
        <v>23</v>
      </c>
      <c r="D6" s="223" t="s">
        <v>20</v>
      </c>
      <c r="E6" s="223" t="s">
        <v>21</v>
      </c>
      <c r="F6" s="223"/>
      <c r="G6" s="32"/>
      <c r="H6" s="32"/>
      <c r="I6" s="32"/>
      <c r="J6" s="32"/>
      <c r="K6" s="32"/>
      <c r="L6" s="32"/>
    </row>
    <row r="7" spans="1:13" s="33" customFormat="1" ht="38.25" customHeight="1" x14ac:dyDescent="0.2">
      <c r="A7" s="223"/>
      <c r="B7" s="223"/>
      <c r="C7" s="223"/>
      <c r="D7" s="223"/>
      <c r="E7" s="59" t="s">
        <v>23</v>
      </c>
      <c r="F7" s="57" t="s">
        <v>36</v>
      </c>
      <c r="G7" s="32"/>
      <c r="H7" s="32"/>
      <c r="I7" s="32"/>
      <c r="J7" s="32"/>
      <c r="K7" s="32"/>
      <c r="L7" s="32"/>
    </row>
    <row r="8" spans="1:13" s="34" customFormat="1" ht="26.25" customHeight="1" x14ac:dyDescent="0.2">
      <c r="A8" s="62">
        <v>200000</v>
      </c>
      <c r="B8" s="63" t="s">
        <v>2</v>
      </c>
      <c r="C8" s="189">
        <f>D8+E8</f>
        <v>12669111</v>
      </c>
      <c r="D8" s="147">
        <f>D9</f>
        <v>-11467432</v>
      </c>
      <c r="E8" s="147">
        <f>E9</f>
        <v>24136543</v>
      </c>
      <c r="F8" s="147">
        <f>F9</f>
        <v>23880723</v>
      </c>
      <c r="G8" s="2"/>
      <c r="H8" s="2"/>
      <c r="I8" s="2"/>
      <c r="J8" s="2"/>
      <c r="K8" s="2"/>
      <c r="L8" s="2"/>
    </row>
    <row r="9" spans="1:13" s="36" customFormat="1" ht="30" customHeight="1" x14ac:dyDescent="0.2">
      <c r="A9" s="64">
        <v>208000</v>
      </c>
      <c r="B9" s="70" t="s">
        <v>124</v>
      </c>
      <c r="C9" s="189">
        <f>D9+E9</f>
        <v>12669111</v>
      </c>
      <c r="D9" s="148">
        <f>D10-D11+D12</f>
        <v>-11467432</v>
      </c>
      <c r="E9" s="148">
        <f>E10+E12</f>
        <v>24136543</v>
      </c>
      <c r="F9" s="148">
        <f>F10+F12</f>
        <v>23880723</v>
      </c>
      <c r="G9" s="35"/>
      <c r="H9" s="35"/>
      <c r="I9" s="35"/>
      <c r="J9" s="35"/>
      <c r="K9" s="35"/>
      <c r="L9" s="35"/>
    </row>
    <row r="10" spans="1:13" s="38" customFormat="1" ht="20.25" customHeight="1" x14ac:dyDescent="0.2">
      <c r="A10" s="65">
        <v>208100</v>
      </c>
      <c r="B10" s="66" t="s">
        <v>5</v>
      </c>
      <c r="C10" s="189">
        <f>D10+E10</f>
        <v>12679111</v>
      </c>
      <c r="D10" s="187">
        <f>7027859+2916500+2185585</f>
        <v>12129944</v>
      </c>
      <c r="E10" s="149">
        <f>150000+105820+293347</f>
        <v>549167</v>
      </c>
      <c r="F10" s="150">
        <v>293347</v>
      </c>
      <c r="G10" s="37"/>
      <c r="H10" s="37"/>
      <c r="I10" s="37"/>
      <c r="J10" s="37"/>
      <c r="K10" s="37"/>
      <c r="L10" s="37"/>
    </row>
    <row r="11" spans="1:13" s="38" customFormat="1" ht="20.25" customHeight="1" x14ac:dyDescent="0.2">
      <c r="A11" s="67">
        <v>208200</v>
      </c>
      <c r="B11" s="68" t="s">
        <v>125</v>
      </c>
      <c r="C11" s="151">
        <f>D11+E11</f>
        <v>10000</v>
      </c>
      <c r="D11" s="152">
        <v>10000</v>
      </c>
      <c r="E11" s="152"/>
      <c r="F11" s="150"/>
      <c r="G11" s="37"/>
      <c r="H11" s="37"/>
      <c r="I11" s="37"/>
      <c r="J11" s="37"/>
      <c r="K11" s="37"/>
      <c r="L11" s="37"/>
    </row>
    <row r="12" spans="1:13" s="38" customFormat="1" ht="27.6" customHeight="1" x14ac:dyDescent="0.2">
      <c r="A12" s="67">
        <v>208400</v>
      </c>
      <c r="B12" s="68" t="s">
        <v>126</v>
      </c>
      <c r="C12" s="189" t="s">
        <v>15</v>
      </c>
      <c r="D12" s="152">
        <v>-23587376</v>
      </c>
      <c r="E12" s="152">
        <v>23587376</v>
      </c>
      <c r="F12" s="150">
        <v>23587376</v>
      </c>
      <c r="G12" s="37"/>
      <c r="H12" s="37"/>
      <c r="I12" s="37"/>
      <c r="J12" s="37"/>
      <c r="K12" s="37"/>
      <c r="L12" s="37"/>
    </row>
    <row r="13" spans="1:13" s="38" customFormat="1" ht="30.6" customHeight="1" x14ac:dyDescent="0.2">
      <c r="A13" s="65"/>
      <c r="B13" s="70" t="s">
        <v>127</v>
      </c>
      <c r="C13" s="189">
        <f>D13+E13</f>
        <v>12669111</v>
      </c>
      <c r="D13" s="149">
        <f>D8</f>
        <v>-11467432</v>
      </c>
      <c r="E13" s="149">
        <f>E8</f>
        <v>24136543</v>
      </c>
      <c r="F13" s="149">
        <f>F8</f>
        <v>23880723</v>
      </c>
      <c r="G13" s="37"/>
      <c r="H13" s="37"/>
      <c r="I13" s="37"/>
      <c r="J13" s="37"/>
      <c r="K13" s="37"/>
      <c r="L13" s="37"/>
    </row>
    <row r="14" spans="1:13" s="36" customFormat="1" ht="22.15" customHeight="1" x14ac:dyDescent="0.2">
      <c r="A14" s="64">
        <v>600000</v>
      </c>
      <c r="B14" s="70" t="s">
        <v>3</v>
      </c>
      <c r="C14" s="189">
        <f>D14+E14</f>
        <v>12669111</v>
      </c>
      <c r="D14" s="148">
        <f>D8</f>
        <v>-11467432</v>
      </c>
      <c r="E14" s="148">
        <f>E8</f>
        <v>24136543</v>
      </c>
      <c r="F14" s="148">
        <f>F8</f>
        <v>23880723</v>
      </c>
      <c r="G14" s="35"/>
      <c r="H14" s="35"/>
      <c r="I14" s="35"/>
      <c r="J14" s="35"/>
      <c r="K14" s="35"/>
      <c r="L14" s="35"/>
    </row>
    <row r="15" spans="1:13" s="38" customFormat="1" ht="18.75" customHeight="1" x14ac:dyDescent="0.2">
      <c r="A15" s="65">
        <v>602000</v>
      </c>
      <c r="B15" s="66" t="s">
        <v>4</v>
      </c>
      <c r="C15" s="189">
        <f>D15+E15</f>
        <v>12669111</v>
      </c>
      <c r="D15" s="149">
        <f>D8</f>
        <v>-11467432</v>
      </c>
      <c r="E15" s="149">
        <f>E8</f>
        <v>24136543</v>
      </c>
      <c r="F15" s="149">
        <f>F8</f>
        <v>23880723</v>
      </c>
      <c r="G15" s="37"/>
      <c r="H15" s="37"/>
      <c r="I15" s="37"/>
      <c r="J15" s="37"/>
      <c r="K15" s="37"/>
      <c r="L15" s="37"/>
    </row>
    <row r="16" spans="1:13" s="38" customFormat="1" ht="18.75" customHeight="1" x14ac:dyDescent="0.2">
      <c r="A16" s="67">
        <v>602100</v>
      </c>
      <c r="B16" s="68" t="s">
        <v>5</v>
      </c>
      <c r="C16" s="189">
        <f>D16+E16</f>
        <v>12679111</v>
      </c>
      <c r="D16" s="188">
        <f>D10</f>
        <v>12129944</v>
      </c>
      <c r="E16" s="152">
        <f>E10</f>
        <v>549167</v>
      </c>
      <c r="F16" s="152">
        <f>F10</f>
        <v>293347</v>
      </c>
      <c r="G16" s="37"/>
      <c r="H16" s="37"/>
      <c r="I16" s="37"/>
      <c r="J16" s="37"/>
      <c r="K16" s="37"/>
      <c r="L16" s="37"/>
    </row>
    <row r="17" spans="1:12" s="38" customFormat="1" ht="18.75" customHeight="1" x14ac:dyDescent="0.2">
      <c r="A17" s="67">
        <v>602200</v>
      </c>
      <c r="B17" s="68" t="s">
        <v>125</v>
      </c>
      <c r="C17" s="151">
        <f>D17+E17</f>
        <v>10000</v>
      </c>
      <c r="D17" s="152">
        <f>D11</f>
        <v>10000</v>
      </c>
      <c r="E17" s="152">
        <v>0</v>
      </c>
      <c r="F17" s="150"/>
      <c r="G17" s="37"/>
      <c r="H17" s="37"/>
      <c r="I17" s="37"/>
      <c r="J17" s="37"/>
      <c r="K17" s="37"/>
      <c r="L17" s="37"/>
    </row>
    <row r="18" spans="1:12" s="38" customFormat="1" ht="35.450000000000003" customHeight="1" x14ac:dyDescent="0.2">
      <c r="A18" s="67">
        <v>602400</v>
      </c>
      <c r="B18" s="68" t="s">
        <v>126</v>
      </c>
      <c r="C18" s="189" t="s">
        <v>15</v>
      </c>
      <c r="D18" s="152">
        <f>D12</f>
        <v>-23587376</v>
      </c>
      <c r="E18" s="152">
        <f>E12</f>
        <v>23587376</v>
      </c>
      <c r="F18" s="152">
        <f>F12</f>
        <v>23587376</v>
      </c>
      <c r="G18" s="37"/>
      <c r="H18" s="37"/>
      <c r="I18" s="37"/>
      <c r="J18" s="37"/>
      <c r="K18" s="37"/>
      <c r="L18" s="37"/>
    </row>
    <row r="19" spans="1:12" ht="31.15" customHeight="1" x14ac:dyDescent="0.2">
      <c r="A19" s="67"/>
      <c r="B19" s="70" t="s">
        <v>128</v>
      </c>
      <c r="C19" s="189">
        <f>D19+E19</f>
        <v>12669111</v>
      </c>
      <c r="D19" s="153">
        <f>D8</f>
        <v>-11467432</v>
      </c>
      <c r="E19" s="153">
        <f>E8</f>
        <v>24136543</v>
      </c>
      <c r="F19" s="153">
        <f>F8</f>
        <v>23880723</v>
      </c>
    </row>
    <row r="20" spans="1:12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27" customHeight="1" x14ac:dyDescent="0.3">
      <c r="B21" s="146" t="s">
        <v>129</v>
      </c>
      <c r="E21" s="146" t="s">
        <v>118</v>
      </c>
    </row>
  </sheetData>
  <mergeCells count="8">
    <mergeCell ref="C3:F3"/>
    <mergeCell ref="A4:F4"/>
    <mergeCell ref="A5:E5"/>
    <mergeCell ref="A6:A7"/>
    <mergeCell ref="B6:B7"/>
    <mergeCell ref="C6:C7"/>
    <mergeCell ref="D6:D7"/>
    <mergeCell ref="E6:F6"/>
  </mergeCells>
  <phoneticPr fontId="71" type="noConversion"/>
  <printOptions horizontalCentered="1"/>
  <pageMargins left="0.74803149606299213" right="0.74803149606299213" top="0.59055118110236227" bottom="0.78740157480314965" header="0.51181102362204722" footer="0.51181102362204722"/>
  <pageSetup paperSize="9" scale="86" fitToHeight="0" orientation="portrait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showZeros="0" topLeftCell="F16" zoomScaleNormal="100" zoomScaleSheetLayoutView="90" workbookViewId="0">
      <selection activeCell="O31" sqref="O31"/>
    </sheetView>
  </sheetViews>
  <sheetFormatPr defaultColWidth="9.1640625" defaultRowHeight="12.75" x14ac:dyDescent="0.2"/>
  <cols>
    <col min="1" max="1" width="3.83203125" style="6" hidden="1" customWidth="1"/>
    <col min="2" max="2" width="8.6640625" style="79" customWidth="1"/>
    <col min="3" max="3" width="7.5" style="79" customWidth="1"/>
    <col min="4" max="4" width="48.83203125" style="6" customWidth="1"/>
    <col min="5" max="5" width="10.1640625" style="6" customWidth="1"/>
    <col min="6" max="6" width="11.5" style="6" customWidth="1"/>
    <col min="7" max="7" width="12.6640625" style="6" customWidth="1"/>
    <col min="8" max="8" width="10.83203125" style="6" customWidth="1"/>
    <col min="9" max="9" width="11.5" style="6" customWidth="1"/>
    <col min="10" max="10" width="13.5" style="6" customWidth="1"/>
    <col min="11" max="11" width="11.83203125" style="6" customWidth="1"/>
    <col min="12" max="12" width="7.1640625" style="6" customWidth="1"/>
    <col min="13" max="13" width="10.1640625" style="6" customWidth="1"/>
    <col min="14" max="14" width="11.1640625" style="6" customWidth="1"/>
    <col min="15" max="15" width="17.5" style="6" bestFit="1" customWidth="1"/>
    <col min="16" max="16" width="11.5" style="6" bestFit="1" customWidth="1"/>
    <col min="17" max="16384" width="9.1640625" style="5"/>
  </cols>
  <sheetData>
    <row r="1" spans="1:17" s="41" customFormat="1" ht="18.75" customHeight="1" x14ac:dyDescent="0.25">
      <c r="A1" s="40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7" ht="66" customHeight="1" x14ac:dyDescent="0.2">
      <c r="A2" s="2"/>
      <c r="D2" s="2"/>
      <c r="E2" s="1"/>
      <c r="F2" s="1"/>
      <c r="G2" s="1"/>
      <c r="H2" s="1"/>
      <c r="I2" s="1"/>
      <c r="J2" s="1"/>
      <c r="K2" s="1"/>
      <c r="L2" s="1"/>
      <c r="M2" s="237" t="s">
        <v>224</v>
      </c>
      <c r="N2" s="237"/>
      <c r="O2" s="237"/>
      <c r="P2" s="237"/>
      <c r="Q2" s="237"/>
    </row>
    <row r="3" spans="1:17" ht="27" customHeight="1" x14ac:dyDescent="0.2">
      <c r="A3" s="2"/>
      <c r="B3" s="228" t="s">
        <v>139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7" ht="10.15" customHeight="1" x14ac:dyDescent="0.3">
      <c r="B4" s="80"/>
      <c r="C4" s="80"/>
      <c r="D4" s="7"/>
      <c r="E4" s="7"/>
      <c r="F4" s="7"/>
      <c r="G4" s="10"/>
      <c r="H4" s="7"/>
      <c r="I4" s="7"/>
      <c r="J4" s="8"/>
      <c r="K4" s="9"/>
      <c r="L4" s="9"/>
      <c r="M4" s="9"/>
      <c r="N4" s="9"/>
      <c r="O4" s="9"/>
      <c r="P4" s="71" t="s">
        <v>113</v>
      </c>
    </row>
    <row r="5" spans="1:17" s="99" customFormat="1" ht="21.75" customHeight="1" x14ac:dyDescent="0.2">
      <c r="A5" s="100"/>
      <c r="B5" s="232" t="s">
        <v>52</v>
      </c>
      <c r="C5" s="238" t="s">
        <v>55</v>
      </c>
      <c r="D5" s="239" t="s">
        <v>53</v>
      </c>
      <c r="E5" s="230" t="s">
        <v>20</v>
      </c>
      <c r="F5" s="230"/>
      <c r="G5" s="230"/>
      <c r="H5" s="230"/>
      <c r="I5" s="230"/>
      <c r="J5" s="230" t="s">
        <v>21</v>
      </c>
      <c r="K5" s="230"/>
      <c r="L5" s="230"/>
      <c r="M5" s="230"/>
      <c r="N5" s="230"/>
      <c r="O5" s="230"/>
      <c r="P5" s="230" t="s">
        <v>22</v>
      </c>
    </row>
    <row r="6" spans="1:17" s="99" customFormat="1" ht="16.5" customHeight="1" x14ac:dyDescent="0.2">
      <c r="A6" s="102"/>
      <c r="B6" s="233"/>
      <c r="C6" s="238"/>
      <c r="D6" s="229"/>
      <c r="E6" s="229" t="s">
        <v>23</v>
      </c>
      <c r="F6" s="236" t="s">
        <v>24</v>
      </c>
      <c r="G6" s="229" t="s">
        <v>25</v>
      </c>
      <c r="H6" s="229"/>
      <c r="I6" s="236" t="s">
        <v>26</v>
      </c>
      <c r="J6" s="229" t="s">
        <v>23</v>
      </c>
      <c r="K6" s="236" t="s">
        <v>24</v>
      </c>
      <c r="L6" s="229" t="s">
        <v>25</v>
      </c>
      <c r="M6" s="229"/>
      <c r="N6" s="236" t="s">
        <v>26</v>
      </c>
      <c r="O6" s="101" t="s">
        <v>25</v>
      </c>
      <c r="P6" s="230"/>
    </row>
    <row r="7" spans="1:17" s="99" customFormat="1" ht="20.25" customHeight="1" x14ac:dyDescent="0.2">
      <c r="A7" s="103"/>
      <c r="B7" s="233"/>
      <c r="C7" s="238"/>
      <c r="D7" s="229"/>
      <c r="E7" s="229"/>
      <c r="F7" s="236"/>
      <c r="G7" s="229" t="s">
        <v>27</v>
      </c>
      <c r="H7" s="229" t="s">
        <v>28</v>
      </c>
      <c r="I7" s="236"/>
      <c r="J7" s="229"/>
      <c r="K7" s="236"/>
      <c r="L7" s="229" t="s">
        <v>27</v>
      </c>
      <c r="M7" s="229" t="s">
        <v>28</v>
      </c>
      <c r="N7" s="236"/>
      <c r="O7" s="239" t="s">
        <v>41</v>
      </c>
      <c r="P7" s="230"/>
    </row>
    <row r="8" spans="1:17" s="99" customFormat="1" ht="25.15" customHeight="1" x14ac:dyDescent="0.2">
      <c r="A8" s="104"/>
      <c r="B8" s="234"/>
      <c r="C8" s="238"/>
      <c r="D8" s="229"/>
      <c r="E8" s="229"/>
      <c r="F8" s="236"/>
      <c r="G8" s="229"/>
      <c r="H8" s="229"/>
      <c r="I8" s="236"/>
      <c r="J8" s="229"/>
      <c r="K8" s="236"/>
      <c r="L8" s="229"/>
      <c r="M8" s="229"/>
      <c r="N8" s="236"/>
      <c r="O8" s="239"/>
      <c r="P8" s="230"/>
    </row>
    <row r="9" spans="1:17" s="108" customFormat="1" ht="21.6" customHeight="1" x14ac:dyDescent="0.2">
      <c r="A9" s="105"/>
      <c r="B9" s="106"/>
      <c r="C9" s="106"/>
      <c r="D9" s="107" t="s">
        <v>95</v>
      </c>
      <c r="E9" s="132">
        <f>E49</f>
        <v>49618844</v>
      </c>
      <c r="F9" s="132">
        <f t="shared" ref="F9:O9" si="0">F49</f>
        <v>49618844</v>
      </c>
      <c r="G9" s="132">
        <f t="shared" si="0"/>
        <v>22568941</v>
      </c>
      <c r="H9" s="132">
        <f t="shared" si="0"/>
        <v>5035711</v>
      </c>
      <c r="I9" s="132">
        <f t="shared" si="0"/>
        <v>0</v>
      </c>
      <c r="J9" s="132">
        <f t="shared" si="0"/>
        <v>26378173</v>
      </c>
      <c r="K9" s="132">
        <f t="shared" si="0"/>
        <v>2057450</v>
      </c>
      <c r="L9" s="132">
        <f t="shared" si="0"/>
        <v>0</v>
      </c>
      <c r="M9" s="132">
        <f t="shared" si="0"/>
        <v>0</v>
      </c>
      <c r="N9" s="132">
        <f t="shared" si="0"/>
        <v>24320723</v>
      </c>
      <c r="O9" s="132">
        <f t="shared" si="0"/>
        <v>24320723</v>
      </c>
      <c r="P9" s="132">
        <f>E9+J9</f>
        <v>75997017</v>
      </c>
    </row>
    <row r="10" spans="1:17" s="99" customFormat="1" ht="14.25" x14ac:dyDescent="0.2">
      <c r="A10" s="98"/>
      <c r="B10" s="106"/>
      <c r="C10" s="106"/>
      <c r="D10" s="107" t="s">
        <v>96</v>
      </c>
      <c r="E10" s="130">
        <f>E49</f>
        <v>49618844</v>
      </c>
      <c r="F10" s="130">
        <f t="shared" ref="F10:O10" si="1">F49</f>
        <v>49618844</v>
      </c>
      <c r="G10" s="130">
        <f t="shared" si="1"/>
        <v>22568941</v>
      </c>
      <c r="H10" s="130">
        <f t="shared" si="1"/>
        <v>5035711</v>
      </c>
      <c r="I10" s="130">
        <f t="shared" si="1"/>
        <v>0</v>
      </c>
      <c r="J10" s="130">
        <f t="shared" si="1"/>
        <v>26378173</v>
      </c>
      <c r="K10" s="130">
        <f t="shared" si="1"/>
        <v>2057450</v>
      </c>
      <c r="L10" s="130">
        <f t="shared" si="1"/>
        <v>0</v>
      </c>
      <c r="M10" s="130">
        <f t="shared" si="1"/>
        <v>0</v>
      </c>
      <c r="N10" s="130">
        <f t="shared" si="1"/>
        <v>24320723</v>
      </c>
      <c r="O10" s="130">
        <f t="shared" si="1"/>
        <v>24320723</v>
      </c>
      <c r="P10" s="132">
        <f t="shared" ref="P10:P48" si="2">E10+J10</f>
        <v>75997017</v>
      </c>
    </row>
    <row r="11" spans="1:17" s="99" customFormat="1" ht="70.900000000000006" customHeight="1" x14ac:dyDescent="0.2">
      <c r="A11" s="98"/>
      <c r="B11" s="174" t="s">
        <v>142</v>
      </c>
      <c r="C11" s="174" t="s">
        <v>29</v>
      </c>
      <c r="D11" s="175" t="s">
        <v>143</v>
      </c>
      <c r="E11" s="176">
        <f>F11</f>
        <v>10648589</v>
      </c>
      <c r="F11" s="176">
        <f>7879836+50000+90000+150000+20000+193433+12840+5000+423352+93148+1730980</f>
        <v>10648589</v>
      </c>
      <c r="G11" s="176">
        <f>5761011+423352+1430840</f>
        <v>7615203</v>
      </c>
      <c r="H11" s="176">
        <f>138305+5852+57246+193433</f>
        <v>394836</v>
      </c>
      <c r="I11" s="176"/>
      <c r="J11" s="176">
        <f>K11+N11</f>
        <v>868000</v>
      </c>
      <c r="K11" s="176">
        <f>L11+M11</f>
        <v>0</v>
      </c>
      <c r="L11" s="176"/>
      <c r="M11" s="176"/>
      <c r="N11" s="176">
        <f>O11</f>
        <v>868000</v>
      </c>
      <c r="O11" s="176">
        <f>400000+360000+10000+35000+25000+38000</f>
        <v>868000</v>
      </c>
      <c r="P11" s="176">
        <f t="shared" si="2"/>
        <v>11516589</v>
      </c>
      <c r="Q11" s="131"/>
    </row>
    <row r="12" spans="1:17" s="99" customFormat="1" ht="16.149999999999999" customHeight="1" x14ac:dyDescent="0.2">
      <c r="A12" s="98"/>
      <c r="B12" s="174" t="s">
        <v>145</v>
      </c>
      <c r="C12" s="174"/>
      <c r="D12" s="175" t="s">
        <v>146</v>
      </c>
      <c r="E12" s="176">
        <f>E13+E14</f>
        <v>23814114</v>
      </c>
      <c r="F12" s="176">
        <f>F13+F14</f>
        <v>23814114</v>
      </c>
      <c r="G12" s="176">
        <f>G13+G14</f>
        <v>13259880</v>
      </c>
      <c r="H12" s="176">
        <f>H13+H14</f>
        <v>2951632</v>
      </c>
      <c r="I12" s="176">
        <f>I13+I14</f>
        <v>0</v>
      </c>
      <c r="J12" s="157">
        <f t="shared" ref="J12:J48" si="3">K12+N12</f>
        <v>8756330</v>
      </c>
      <c r="K12" s="176">
        <f>K13+K14</f>
        <v>1616330</v>
      </c>
      <c r="L12" s="176"/>
      <c r="M12" s="176"/>
      <c r="N12" s="176">
        <f>O12</f>
        <v>7140000</v>
      </c>
      <c r="O12" s="176">
        <f>O13+O14</f>
        <v>7140000</v>
      </c>
      <c r="P12" s="176">
        <f t="shared" si="2"/>
        <v>32570444</v>
      </c>
      <c r="Q12" s="131"/>
    </row>
    <row r="13" spans="1:17" s="99" customFormat="1" ht="15" x14ac:dyDescent="0.2">
      <c r="A13" s="98"/>
      <c r="B13" s="177">
        <v>1010</v>
      </c>
      <c r="C13" s="140" t="s">
        <v>97</v>
      </c>
      <c r="D13" s="178" t="s">
        <v>144</v>
      </c>
      <c r="E13" s="154">
        <f>F13</f>
        <v>23777634</v>
      </c>
      <c r="F13" s="154">
        <f>21789029+172500-5500+150000+454605+1000000+217000</f>
        <v>23777634</v>
      </c>
      <c r="G13" s="154">
        <v>13259880</v>
      </c>
      <c r="H13" s="154">
        <f>2871732+150000-70100</f>
        <v>2951632</v>
      </c>
      <c r="I13" s="154"/>
      <c r="J13" s="157">
        <f t="shared" si="3"/>
        <v>8756330</v>
      </c>
      <c r="K13" s="157">
        <v>1616330</v>
      </c>
      <c r="L13" s="154"/>
      <c r="M13" s="154"/>
      <c r="N13" s="157">
        <f>O13</f>
        <v>7140000</v>
      </c>
      <c r="O13" s="157">
        <f>5000000+150000+170000+1500000+100000+23000+197000</f>
        <v>7140000</v>
      </c>
      <c r="P13" s="176">
        <f t="shared" si="2"/>
        <v>32533964</v>
      </c>
      <c r="Q13" s="131"/>
    </row>
    <row r="14" spans="1:17" s="99" customFormat="1" ht="30" x14ac:dyDescent="0.2">
      <c r="A14" s="98"/>
      <c r="B14" s="177">
        <v>1140</v>
      </c>
      <c r="C14" s="140" t="s">
        <v>147</v>
      </c>
      <c r="D14" s="178" t="s">
        <v>148</v>
      </c>
      <c r="E14" s="154">
        <f>F14</f>
        <v>36480</v>
      </c>
      <c r="F14" s="154">
        <v>36480</v>
      </c>
      <c r="G14" s="154"/>
      <c r="H14" s="154"/>
      <c r="I14" s="154"/>
      <c r="J14" s="157"/>
      <c r="K14" s="157"/>
      <c r="L14" s="154"/>
      <c r="M14" s="154"/>
      <c r="N14" s="157"/>
      <c r="O14" s="157"/>
      <c r="P14" s="176">
        <f t="shared" si="2"/>
        <v>36480</v>
      </c>
      <c r="Q14" s="131"/>
    </row>
    <row r="15" spans="1:17" s="99" customFormat="1" ht="16.899999999999999" customHeight="1" x14ac:dyDescent="0.2">
      <c r="A15" s="98"/>
      <c r="B15" s="179">
        <v>3000</v>
      </c>
      <c r="C15" s="140"/>
      <c r="D15" s="175" t="s">
        <v>98</v>
      </c>
      <c r="E15" s="157">
        <f t="shared" ref="E15:O15" si="4">E16+E17+E18</f>
        <v>796642</v>
      </c>
      <c r="F15" s="157">
        <f t="shared" si="4"/>
        <v>796642</v>
      </c>
      <c r="G15" s="157">
        <f t="shared" si="4"/>
        <v>468080</v>
      </c>
      <c r="H15" s="157">
        <f t="shared" si="4"/>
        <v>0</v>
      </c>
      <c r="I15" s="157">
        <f t="shared" si="4"/>
        <v>0</v>
      </c>
      <c r="J15" s="157">
        <f t="shared" si="4"/>
        <v>0</v>
      </c>
      <c r="K15" s="157">
        <f t="shared" si="4"/>
        <v>0</v>
      </c>
      <c r="L15" s="157">
        <f t="shared" si="4"/>
        <v>0</v>
      </c>
      <c r="M15" s="157">
        <f t="shared" si="4"/>
        <v>0</v>
      </c>
      <c r="N15" s="157">
        <f t="shared" si="4"/>
        <v>0</v>
      </c>
      <c r="O15" s="157">
        <f t="shared" si="4"/>
        <v>0</v>
      </c>
      <c r="P15" s="176">
        <f t="shared" si="2"/>
        <v>796642</v>
      </c>
      <c r="Q15" s="131"/>
    </row>
    <row r="16" spans="1:17" s="99" customFormat="1" ht="55.15" customHeight="1" x14ac:dyDescent="0.2">
      <c r="A16" s="98"/>
      <c r="B16" s="177">
        <v>3140</v>
      </c>
      <c r="C16" s="140" t="s">
        <v>100</v>
      </c>
      <c r="D16" s="180" t="s">
        <v>101</v>
      </c>
      <c r="E16" s="154">
        <f>F16</f>
        <v>11360</v>
      </c>
      <c r="F16" s="154">
        <f>190000-178640</f>
        <v>11360</v>
      </c>
      <c r="G16" s="154"/>
      <c r="H16" s="154"/>
      <c r="I16" s="154"/>
      <c r="J16" s="157">
        <f t="shared" si="3"/>
        <v>0</v>
      </c>
      <c r="K16" s="157">
        <f>L16+M16</f>
        <v>0</v>
      </c>
      <c r="L16" s="154"/>
      <c r="M16" s="154"/>
      <c r="N16" s="157">
        <f t="shared" ref="N16:N48" si="5">O16</f>
        <v>0</v>
      </c>
      <c r="O16" s="154"/>
      <c r="P16" s="176">
        <f t="shared" si="2"/>
        <v>11360</v>
      </c>
      <c r="Q16" s="131"/>
    </row>
    <row r="17" spans="1:17" s="99" customFormat="1" ht="30" x14ac:dyDescent="0.2">
      <c r="A17" s="98"/>
      <c r="B17" s="177">
        <v>3210</v>
      </c>
      <c r="C17" s="140" t="s">
        <v>131</v>
      </c>
      <c r="D17" s="180" t="s">
        <v>132</v>
      </c>
      <c r="E17" s="154">
        <f>F17</f>
        <v>571282</v>
      </c>
      <c r="F17" s="154">
        <v>571282</v>
      </c>
      <c r="G17" s="154">
        <v>468080</v>
      </c>
      <c r="H17" s="154"/>
      <c r="I17" s="154"/>
      <c r="J17" s="157"/>
      <c r="K17" s="157"/>
      <c r="L17" s="154"/>
      <c r="M17" s="154"/>
      <c r="N17" s="157"/>
      <c r="O17" s="154"/>
      <c r="P17" s="176">
        <f t="shared" si="2"/>
        <v>571282</v>
      </c>
      <c r="Q17" s="131"/>
    </row>
    <row r="18" spans="1:17" s="99" customFormat="1" ht="30" x14ac:dyDescent="0.2">
      <c r="A18" s="98"/>
      <c r="B18" s="177">
        <v>3242</v>
      </c>
      <c r="C18" s="140" t="s">
        <v>99</v>
      </c>
      <c r="D18" s="180" t="s">
        <v>189</v>
      </c>
      <c r="E18" s="154">
        <f>F18</f>
        <v>214000</v>
      </c>
      <c r="F18" s="154">
        <v>214000</v>
      </c>
      <c r="G18" s="157"/>
      <c r="H18" s="157"/>
      <c r="I18" s="157"/>
      <c r="J18" s="157">
        <f t="shared" si="3"/>
        <v>0</v>
      </c>
      <c r="K18" s="157">
        <f>L18+M18</f>
        <v>0</v>
      </c>
      <c r="L18" s="157"/>
      <c r="M18" s="157"/>
      <c r="N18" s="157">
        <f t="shared" si="5"/>
        <v>0</v>
      </c>
      <c r="O18" s="157"/>
      <c r="P18" s="176">
        <f t="shared" si="2"/>
        <v>214000</v>
      </c>
      <c r="Q18" s="131"/>
    </row>
    <row r="19" spans="1:17" s="99" customFormat="1" ht="14.25" x14ac:dyDescent="0.2">
      <c r="A19" s="98"/>
      <c r="B19" s="179">
        <v>4000</v>
      </c>
      <c r="C19" s="174"/>
      <c r="D19" s="175" t="s">
        <v>102</v>
      </c>
      <c r="E19" s="157">
        <f t="shared" ref="E19:J19" si="6">E20+E21+E22</f>
        <v>2415656</v>
      </c>
      <c r="F19" s="157">
        <f t="shared" si="6"/>
        <v>2415656</v>
      </c>
      <c r="G19" s="157">
        <f t="shared" si="6"/>
        <v>1037826</v>
      </c>
      <c r="H19" s="157">
        <f t="shared" si="6"/>
        <v>171808</v>
      </c>
      <c r="I19" s="157">
        <f t="shared" si="6"/>
        <v>0</v>
      </c>
      <c r="J19" s="157">
        <f t="shared" si="6"/>
        <v>1600900</v>
      </c>
      <c r="K19" s="157">
        <f>K20+K22</f>
        <v>29300</v>
      </c>
      <c r="L19" s="157">
        <f>L20+L22</f>
        <v>0</v>
      </c>
      <c r="M19" s="157">
        <f>M20+M22</f>
        <v>0</v>
      </c>
      <c r="N19" s="157">
        <f>N20+N22</f>
        <v>1571600</v>
      </c>
      <c r="O19" s="157">
        <f>O20+O22</f>
        <v>1571600</v>
      </c>
      <c r="P19" s="176">
        <f t="shared" si="2"/>
        <v>4016556</v>
      </c>
      <c r="Q19" s="131"/>
    </row>
    <row r="20" spans="1:17" s="99" customFormat="1" ht="38.25" x14ac:dyDescent="0.2">
      <c r="A20" s="98"/>
      <c r="B20" s="177">
        <v>4060</v>
      </c>
      <c r="C20" s="140" t="s">
        <v>103</v>
      </c>
      <c r="D20" s="181" t="s">
        <v>163</v>
      </c>
      <c r="E20" s="154">
        <f>F20</f>
        <v>1668904</v>
      </c>
      <c r="F20" s="154">
        <f>1650504+18400</f>
        <v>1668904</v>
      </c>
      <c r="G20" s="154">
        <v>966226</v>
      </c>
      <c r="H20" s="154">
        <f>4389+28061+130258</f>
        <v>162708</v>
      </c>
      <c r="I20" s="157"/>
      <c r="J20" s="157">
        <f t="shared" si="3"/>
        <v>1590900</v>
      </c>
      <c r="K20" s="157">
        <v>29300</v>
      </c>
      <c r="L20" s="157"/>
      <c r="M20" s="157"/>
      <c r="N20" s="157">
        <f t="shared" si="5"/>
        <v>1561600</v>
      </c>
      <c r="O20" s="157">
        <f>1500000+61600</f>
        <v>1561600</v>
      </c>
      <c r="P20" s="176">
        <f t="shared" si="2"/>
        <v>3259804</v>
      </c>
      <c r="Q20" s="131"/>
    </row>
    <row r="21" spans="1:17" s="99" customFormat="1" ht="25.5" x14ac:dyDescent="0.2">
      <c r="A21" s="98"/>
      <c r="B21" s="177">
        <v>4081</v>
      </c>
      <c r="C21" s="140" t="s">
        <v>149</v>
      </c>
      <c r="D21" s="181" t="s">
        <v>190</v>
      </c>
      <c r="E21" s="154">
        <f>F21</f>
        <v>106752</v>
      </c>
      <c r="F21" s="154">
        <v>106752</v>
      </c>
      <c r="G21" s="154">
        <v>71600</v>
      </c>
      <c r="H21" s="154">
        <v>9100</v>
      </c>
      <c r="I21" s="157"/>
      <c r="J21" s="157"/>
      <c r="K21" s="157"/>
      <c r="L21" s="157"/>
      <c r="M21" s="157"/>
      <c r="N21" s="157"/>
      <c r="O21" s="157"/>
      <c r="P21" s="176">
        <f t="shared" si="2"/>
        <v>106752</v>
      </c>
      <c r="Q21" s="131"/>
    </row>
    <row r="22" spans="1:17" s="99" customFormat="1" ht="15" x14ac:dyDescent="0.2">
      <c r="A22" s="98"/>
      <c r="B22" s="177">
        <v>4082</v>
      </c>
      <c r="C22" s="140" t="s">
        <v>149</v>
      </c>
      <c r="D22" s="181" t="s">
        <v>191</v>
      </c>
      <c r="E22" s="154">
        <f>F22</f>
        <v>640000</v>
      </c>
      <c r="F22" s="154">
        <f>500000-10000+50000+100000</f>
        <v>640000</v>
      </c>
      <c r="G22" s="154"/>
      <c r="H22" s="154"/>
      <c r="I22" s="157"/>
      <c r="J22" s="157">
        <f t="shared" si="3"/>
        <v>10000</v>
      </c>
      <c r="K22" s="157"/>
      <c r="L22" s="157"/>
      <c r="M22" s="157"/>
      <c r="N22" s="157">
        <f t="shared" si="5"/>
        <v>10000</v>
      </c>
      <c r="O22" s="157">
        <f>10000</f>
        <v>10000</v>
      </c>
      <c r="P22" s="176">
        <f t="shared" si="2"/>
        <v>650000</v>
      </c>
      <c r="Q22" s="131"/>
    </row>
    <row r="23" spans="1:17" s="99" customFormat="1" ht="15" x14ac:dyDescent="0.2">
      <c r="A23" s="98"/>
      <c r="B23" s="179">
        <v>5000</v>
      </c>
      <c r="C23" s="140"/>
      <c r="D23" s="175" t="s">
        <v>104</v>
      </c>
      <c r="E23" s="157">
        <f>E24</f>
        <v>402282</v>
      </c>
      <c r="F23" s="157">
        <f t="shared" ref="F23:O23" si="7">F24</f>
        <v>402282</v>
      </c>
      <c r="G23" s="157">
        <f t="shared" si="7"/>
        <v>187952</v>
      </c>
      <c r="H23" s="157">
        <f t="shared" si="7"/>
        <v>46000</v>
      </c>
      <c r="I23" s="157">
        <f t="shared" si="7"/>
        <v>0</v>
      </c>
      <c r="J23" s="157">
        <f t="shared" si="7"/>
        <v>0</v>
      </c>
      <c r="K23" s="157">
        <f t="shared" si="7"/>
        <v>0</v>
      </c>
      <c r="L23" s="157">
        <f t="shared" si="7"/>
        <v>0</v>
      </c>
      <c r="M23" s="157">
        <f t="shared" si="7"/>
        <v>0</v>
      </c>
      <c r="N23" s="157">
        <f t="shared" si="7"/>
        <v>0</v>
      </c>
      <c r="O23" s="157">
        <f t="shared" si="7"/>
        <v>0</v>
      </c>
      <c r="P23" s="176">
        <f t="shared" si="2"/>
        <v>402282</v>
      </c>
      <c r="Q23" s="131"/>
    </row>
    <row r="24" spans="1:17" s="99" customFormat="1" ht="51" x14ac:dyDescent="0.2">
      <c r="A24" s="98"/>
      <c r="B24" s="177">
        <v>5061</v>
      </c>
      <c r="C24" s="140" t="s">
        <v>105</v>
      </c>
      <c r="D24" s="181" t="s">
        <v>130</v>
      </c>
      <c r="E24" s="154">
        <f>F24</f>
        <v>402282</v>
      </c>
      <c r="F24" s="154">
        <f>396282+6000</f>
        <v>402282</v>
      </c>
      <c r="G24" s="154">
        <v>187952</v>
      </c>
      <c r="H24" s="154">
        <f>15000+25000+6000</f>
        <v>46000</v>
      </c>
      <c r="I24" s="154"/>
      <c r="J24" s="157">
        <f t="shared" si="3"/>
        <v>0</v>
      </c>
      <c r="K24" s="157">
        <f>L24+M24</f>
        <v>0</v>
      </c>
      <c r="L24" s="157"/>
      <c r="M24" s="157"/>
      <c r="N24" s="157">
        <f t="shared" si="5"/>
        <v>0</v>
      </c>
      <c r="O24" s="157"/>
      <c r="P24" s="176">
        <f t="shared" si="2"/>
        <v>402282</v>
      </c>
      <c r="Q24" s="131"/>
    </row>
    <row r="25" spans="1:17" s="99" customFormat="1" ht="15" x14ac:dyDescent="0.2">
      <c r="A25" s="98"/>
      <c r="B25" s="179">
        <v>6000</v>
      </c>
      <c r="C25" s="140"/>
      <c r="D25" s="175" t="s">
        <v>106</v>
      </c>
      <c r="E25" s="157">
        <f>E26+E27+E28+E29+E30</f>
        <v>10187935</v>
      </c>
      <c r="F25" s="157">
        <f>F26+F27+F28+F29+F30</f>
        <v>10187935</v>
      </c>
      <c r="G25" s="157">
        <f>G26+G27+G28+G29+G30</f>
        <v>0</v>
      </c>
      <c r="H25" s="157">
        <f>H26+H27+H28+H29+H30</f>
        <v>1471435</v>
      </c>
      <c r="I25" s="157">
        <f>I26+I29+I30</f>
        <v>0</v>
      </c>
      <c r="J25" s="157">
        <f t="shared" si="3"/>
        <v>6439347</v>
      </c>
      <c r="K25" s="157">
        <f>K26+K29</f>
        <v>0</v>
      </c>
      <c r="L25" s="157">
        <f>L26+L29</f>
        <v>0</v>
      </c>
      <c r="M25" s="157">
        <f>M26+M29</f>
        <v>0</v>
      </c>
      <c r="N25" s="157">
        <f>N26+N27+N28+N29+N30</f>
        <v>6439347</v>
      </c>
      <c r="O25" s="157">
        <f>O26+O27+O28+O29+O30</f>
        <v>6439347</v>
      </c>
      <c r="P25" s="176">
        <f t="shared" si="2"/>
        <v>16627282</v>
      </c>
      <c r="Q25" s="131"/>
    </row>
    <row r="26" spans="1:17" s="99" customFormat="1" ht="18" customHeight="1" x14ac:dyDescent="0.2">
      <c r="A26" s="98"/>
      <c r="B26" s="177">
        <v>6011</v>
      </c>
      <c r="C26" s="140" t="s">
        <v>109</v>
      </c>
      <c r="D26" s="181" t="s">
        <v>154</v>
      </c>
      <c r="E26" s="154">
        <f>F26</f>
        <v>0</v>
      </c>
      <c r="F26" s="154"/>
      <c r="G26" s="154"/>
      <c r="H26" s="154"/>
      <c r="I26" s="157"/>
      <c r="J26" s="157">
        <f t="shared" si="3"/>
        <v>993347</v>
      </c>
      <c r="K26" s="157">
        <f>L26+M26</f>
        <v>0</v>
      </c>
      <c r="L26" s="157"/>
      <c r="M26" s="157"/>
      <c r="N26" s="157">
        <f t="shared" si="5"/>
        <v>993347</v>
      </c>
      <c r="O26" s="157">
        <f>300000+693347</f>
        <v>993347</v>
      </c>
      <c r="P26" s="176">
        <f t="shared" si="2"/>
        <v>993347</v>
      </c>
      <c r="Q26" s="131"/>
    </row>
    <row r="27" spans="1:17" s="99" customFormat="1" ht="25.15" customHeight="1" x14ac:dyDescent="0.25">
      <c r="A27" s="98"/>
      <c r="B27" s="177">
        <v>6013</v>
      </c>
      <c r="C27" s="140" t="s">
        <v>109</v>
      </c>
      <c r="D27" s="213" t="s">
        <v>197</v>
      </c>
      <c r="E27" s="154">
        <f>F27</f>
        <v>100000</v>
      </c>
      <c r="F27" s="154">
        <v>100000</v>
      </c>
      <c r="G27" s="154"/>
      <c r="H27" s="154"/>
      <c r="I27" s="157"/>
      <c r="J27" s="157">
        <f t="shared" si="3"/>
        <v>0</v>
      </c>
      <c r="K27" s="157"/>
      <c r="L27" s="157"/>
      <c r="M27" s="157"/>
      <c r="N27" s="157">
        <f t="shared" si="5"/>
        <v>0</v>
      </c>
      <c r="O27" s="157"/>
      <c r="P27" s="176">
        <f t="shared" si="2"/>
        <v>100000</v>
      </c>
      <c r="Q27" s="131"/>
    </row>
    <row r="28" spans="1:17" s="99" customFormat="1" ht="25.15" customHeight="1" x14ac:dyDescent="0.25">
      <c r="A28" s="98"/>
      <c r="B28" s="177">
        <v>6016</v>
      </c>
      <c r="C28" s="140" t="s">
        <v>109</v>
      </c>
      <c r="D28" s="198" t="s">
        <v>204</v>
      </c>
      <c r="E28" s="154"/>
      <c r="F28" s="154"/>
      <c r="G28" s="154"/>
      <c r="H28" s="154"/>
      <c r="I28" s="157"/>
      <c r="J28" s="157">
        <f t="shared" si="3"/>
        <v>1500000</v>
      </c>
      <c r="K28" s="157"/>
      <c r="L28" s="157"/>
      <c r="M28" s="157"/>
      <c r="N28" s="157">
        <f t="shared" si="5"/>
        <v>1500000</v>
      </c>
      <c r="O28" s="157">
        <v>1500000</v>
      </c>
      <c r="P28" s="176">
        <f t="shared" si="2"/>
        <v>1500000</v>
      </c>
      <c r="Q28" s="131"/>
    </row>
    <row r="29" spans="1:17" s="99" customFormat="1" ht="15" x14ac:dyDescent="0.2">
      <c r="A29" s="98"/>
      <c r="B29" s="177">
        <v>6030</v>
      </c>
      <c r="C29" s="140" t="s">
        <v>109</v>
      </c>
      <c r="D29" s="180" t="s">
        <v>150</v>
      </c>
      <c r="E29" s="154">
        <f>F29</f>
        <v>10087935</v>
      </c>
      <c r="F29" s="154">
        <f>7997935+50000+15000+150000+475000+1200000+150000+50000</f>
        <v>10087935</v>
      </c>
      <c r="G29" s="154"/>
      <c r="H29" s="154">
        <v>1471435</v>
      </c>
      <c r="I29" s="157"/>
      <c r="J29" s="157">
        <f t="shared" si="3"/>
        <v>3946000</v>
      </c>
      <c r="K29" s="157">
        <f>L29+M29</f>
        <v>0</v>
      </c>
      <c r="L29" s="157"/>
      <c r="M29" s="157"/>
      <c r="N29" s="157">
        <f t="shared" si="5"/>
        <v>3946000</v>
      </c>
      <c r="O29" s="154">
        <f>3000000+296000+300000+350000</f>
        <v>3946000</v>
      </c>
      <c r="P29" s="176">
        <f t="shared" si="2"/>
        <v>14033935</v>
      </c>
      <c r="Q29" s="131"/>
    </row>
    <row r="30" spans="1:17" s="99" customFormat="1" ht="30" x14ac:dyDescent="0.2">
      <c r="A30" s="98"/>
      <c r="B30" s="177">
        <v>6082</v>
      </c>
      <c r="C30" s="203" t="s">
        <v>107</v>
      </c>
      <c r="D30" s="204" t="s">
        <v>162</v>
      </c>
      <c r="E30" s="154"/>
      <c r="F30" s="154"/>
      <c r="G30" s="154"/>
      <c r="H30" s="154"/>
      <c r="I30" s="157"/>
      <c r="J30" s="157">
        <f t="shared" si="3"/>
        <v>0</v>
      </c>
      <c r="K30" s="157"/>
      <c r="L30" s="157"/>
      <c r="M30" s="157"/>
      <c r="N30" s="157">
        <f t="shared" si="5"/>
        <v>0</v>
      </c>
      <c r="O30" s="154">
        <v>0</v>
      </c>
      <c r="P30" s="176">
        <f t="shared" si="2"/>
        <v>0</v>
      </c>
      <c r="Q30" s="131"/>
    </row>
    <row r="31" spans="1:17" s="99" customFormat="1" ht="16.149999999999999" customHeight="1" x14ac:dyDescent="0.2">
      <c r="A31" s="98"/>
      <c r="B31" s="201">
        <v>7100</v>
      </c>
      <c r="C31" s="207"/>
      <c r="D31" s="208" t="s">
        <v>192</v>
      </c>
      <c r="E31" s="202">
        <f>F31</f>
        <v>145586</v>
      </c>
      <c r="F31" s="154">
        <f>F32</f>
        <v>145586</v>
      </c>
      <c r="G31" s="154">
        <f>G32</f>
        <v>0</v>
      </c>
      <c r="H31" s="154">
        <f>H32</f>
        <v>0</v>
      </c>
      <c r="I31" s="154">
        <f>I32</f>
        <v>0</v>
      </c>
      <c r="J31" s="157">
        <f t="shared" si="3"/>
        <v>0</v>
      </c>
      <c r="K31" s="157"/>
      <c r="L31" s="157"/>
      <c r="M31" s="157"/>
      <c r="N31" s="157"/>
      <c r="O31" s="154"/>
      <c r="P31" s="176">
        <f t="shared" si="2"/>
        <v>145586</v>
      </c>
      <c r="Q31" s="131"/>
    </row>
    <row r="32" spans="1:17" s="99" customFormat="1" ht="15" x14ac:dyDescent="0.2">
      <c r="A32" s="98"/>
      <c r="B32" s="177">
        <v>7130</v>
      </c>
      <c r="C32" s="205" t="s">
        <v>193</v>
      </c>
      <c r="D32" s="206" t="s">
        <v>194</v>
      </c>
      <c r="E32" s="154">
        <f>F32</f>
        <v>145586</v>
      </c>
      <c r="F32" s="154">
        <f>6000+25000+80000+8000+26586</f>
        <v>145586</v>
      </c>
      <c r="G32" s="154"/>
      <c r="H32" s="154"/>
      <c r="I32" s="157"/>
      <c r="J32" s="157">
        <f t="shared" si="3"/>
        <v>0</v>
      </c>
      <c r="K32" s="157"/>
      <c r="L32" s="157"/>
      <c r="M32" s="157"/>
      <c r="N32" s="157"/>
      <c r="O32" s="154"/>
      <c r="P32" s="176">
        <f t="shared" si="2"/>
        <v>145586</v>
      </c>
      <c r="Q32" s="131"/>
    </row>
    <row r="33" spans="1:17" s="99" customFormat="1" ht="15" x14ac:dyDescent="0.2">
      <c r="A33" s="98"/>
      <c r="B33" s="179">
        <v>7300</v>
      </c>
      <c r="C33" s="140"/>
      <c r="D33" s="175" t="s">
        <v>151</v>
      </c>
      <c r="E33" s="157">
        <f t="shared" ref="E33:J33" si="8">E34+E35+E36+E37+E38</f>
        <v>212000</v>
      </c>
      <c r="F33" s="157">
        <f t="shared" si="8"/>
        <v>212000</v>
      </c>
      <c r="G33" s="157">
        <f t="shared" si="8"/>
        <v>0</v>
      </c>
      <c r="H33" s="157">
        <f t="shared" si="8"/>
        <v>0</v>
      </c>
      <c r="I33" s="157">
        <f t="shared" si="8"/>
        <v>0</v>
      </c>
      <c r="J33" s="157">
        <f t="shared" si="8"/>
        <v>5616776</v>
      </c>
      <c r="K33" s="157">
        <f>K34+K35+K36+K38</f>
        <v>0</v>
      </c>
      <c r="L33" s="157">
        <f>L34+L35+L36+L38</f>
        <v>0</v>
      </c>
      <c r="M33" s="157">
        <f>M34+M35+M36+M38</f>
        <v>0</v>
      </c>
      <c r="N33" s="157">
        <f>N34+N35+N36+N37+N38</f>
        <v>5616776</v>
      </c>
      <c r="O33" s="157">
        <f>O34+O35+O36+O37+O38</f>
        <v>5616776</v>
      </c>
      <c r="P33" s="176">
        <f t="shared" si="2"/>
        <v>5828776</v>
      </c>
      <c r="Q33" s="131"/>
    </row>
    <row r="34" spans="1:17" s="99" customFormat="1" ht="30" x14ac:dyDescent="0.2">
      <c r="A34" s="98"/>
      <c r="B34" s="177">
        <v>7310</v>
      </c>
      <c r="C34" s="140" t="s">
        <v>156</v>
      </c>
      <c r="D34" s="180" t="s">
        <v>157</v>
      </c>
      <c r="E34" s="157">
        <f>F34</f>
        <v>0</v>
      </c>
      <c r="F34" s="157"/>
      <c r="G34" s="157"/>
      <c r="H34" s="157"/>
      <c r="I34" s="157"/>
      <c r="J34" s="157">
        <f t="shared" si="3"/>
        <v>2910000</v>
      </c>
      <c r="K34" s="157">
        <f>L34+M34</f>
        <v>0</v>
      </c>
      <c r="L34" s="157"/>
      <c r="M34" s="157"/>
      <c r="N34" s="157">
        <f t="shared" si="5"/>
        <v>2910000</v>
      </c>
      <c r="O34" s="154">
        <f>2910000</f>
        <v>2910000</v>
      </c>
      <c r="P34" s="176">
        <f t="shared" si="2"/>
        <v>2910000</v>
      </c>
      <c r="Q34" s="131"/>
    </row>
    <row r="35" spans="1:17" s="99" customFormat="1" ht="15" x14ac:dyDescent="0.2">
      <c r="A35" s="98"/>
      <c r="B35" s="177">
        <v>7321</v>
      </c>
      <c r="C35" s="140" t="s">
        <v>156</v>
      </c>
      <c r="D35" s="180" t="s">
        <v>169</v>
      </c>
      <c r="E35" s="157">
        <f>F35</f>
        <v>0</v>
      </c>
      <c r="F35" s="157"/>
      <c r="G35" s="157"/>
      <c r="H35" s="157"/>
      <c r="I35" s="157"/>
      <c r="J35" s="157">
        <f t="shared" si="3"/>
        <v>506776</v>
      </c>
      <c r="K35" s="157"/>
      <c r="L35" s="157"/>
      <c r="M35" s="157"/>
      <c r="N35" s="157">
        <f t="shared" si="5"/>
        <v>506776</v>
      </c>
      <c r="O35" s="154">
        <f>414000+506776-414000</f>
        <v>506776</v>
      </c>
      <c r="P35" s="176">
        <f t="shared" si="2"/>
        <v>506776</v>
      </c>
      <c r="Q35" s="131"/>
    </row>
    <row r="36" spans="1:17" s="99" customFormat="1" ht="45" x14ac:dyDescent="0.2">
      <c r="A36" s="98"/>
      <c r="B36" s="177">
        <v>7330</v>
      </c>
      <c r="C36" s="140" t="s">
        <v>156</v>
      </c>
      <c r="D36" s="180" t="s">
        <v>168</v>
      </c>
      <c r="E36" s="157">
        <f>F36</f>
        <v>0</v>
      </c>
      <c r="F36" s="157"/>
      <c r="G36" s="157"/>
      <c r="H36" s="157"/>
      <c r="I36" s="157"/>
      <c r="J36" s="157">
        <f t="shared" si="3"/>
        <v>1500000</v>
      </c>
      <c r="K36" s="157"/>
      <c r="L36" s="157"/>
      <c r="M36" s="157"/>
      <c r="N36" s="157">
        <f t="shared" si="5"/>
        <v>1500000</v>
      </c>
      <c r="O36" s="154">
        <f>1500000</f>
        <v>1500000</v>
      </c>
      <c r="P36" s="176">
        <f t="shared" si="2"/>
        <v>1500000</v>
      </c>
      <c r="Q36" s="131"/>
    </row>
    <row r="37" spans="1:17" s="99" customFormat="1" ht="30" x14ac:dyDescent="0.25">
      <c r="A37" s="98"/>
      <c r="B37" s="177">
        <v>7350</v>
      </c>
      <c r="C37" s="140" t="s">
        <v>156</v>
      </c>
      <c r="D37" s="198" t="s">
        <v>195</v>
      </c>
      <c r="E37" s="154">
        <f>F37</f>
        <v>12000</v>
      </c>
      <c r="F37" s="154">
        <f>6000+6000</f>
        <v>12000</v>
      </c>
      <c r="G37" s="157"/>
      <c r="H37" s="157"/>
      <c r="I37" s="157"/>
      <c r="J37" s="157">
        <f t="shared" si="3"/>
        <v>0</v>
      </c>
      <c r="K37" s="157"/>
      <c r="L37" s="157"/>
      <c r="M37" s="157"/>
      <c r="N37" s="157"/>
      <c r="O37" s="154"/>
      <c r="P37" s="176">
        <f t="shared" si="2"/>
        <v>12000</v>
      </c>
      <c r="Q37" s="131"/>
    </row>
    <row r="38" spans="1:17" s="99" customFormat="1" ht="30" x14ac:dyDescent="0.2">
      <c r="A38" s="98"/>
      <c r="B38" s="177">
        <v>7370</v>
      </c>
      <c r="C38" s="140" t="s">
        <v>49</v>
      </c>
      <c r="D38" s="180" t="s">
        <v>155</v>
      </c>
      <c r="E38" s="154">
        <f>F38</f>
        <v>200000</v>
      </c>
      <c r="F38" s="154">
        <v>200000</v>
      </c>
      <c r="G38" s="157"/>
      <c r="H38" s="157"/>
      <c r="I38" s="157"/>
      <c r="J38" s="157">
        <f t="shared" si="3"/>
        <v>700000</v>
      </c>
      <c r="K38" s="157"/>
      <c r="L38" s="157"/>
      <c r="M38" s="157"/>
      <c r="N38" s="157">
        <f t="shared" si="5"/>
        <v>700000</v>
      </c>
      <c r="O38" s="154">
        <f>700000</f>
        <v>700000</v>
      </c>
      <c r="P38" s="176">
        <f t="shared" si="2"/>
        <v>900000</v>
      </c>
      <c r="Q38" s="131"/>
    </row>
    <row r="39" spans="1:17" s="99" customFormat="1" ht="28.5" x14ac:dyDescent="0.2">
      <c r="A39" s="98"/>
      <c r="B39" s="179">
        <v>7600</v>
      </c>
      <c r="C39" s="140"/>
      <c r="D39" s="175" t="s">
        <v>152</v>
      </c>
      <c r="E39" s="157">
        <f t="shared" ref="E39:O39" si="9">E40+E41+E42</f>
        <v>50000</v>
      </c>
      <c r="F39" s="157">
        <f t="shared" si="9"/>
        <v>50000</v>
      </c>
      <c r="G39" s="157">
        <f t="shared" si="9"/>
        <v>0</v>
      </c>
      <c r="H39" s="157">
        <f t="shared" si="9"/>
        <v>0</v>
      </c>
      <c r="I39" s="157">
        <f t="shared" si="9"/>
        <v>0</v>
      </c>
      <c r="J39" s="157">
        <f t="shared" si="9"/>
        <v>2590000</v>
      </c>
      <c r="K39" s="157">
        <f t="shared" si="9"/>
        <v>0</v>
      </c>
      <c r="L39" s="157">
        <f t="shared" si="9"/>
        <v>0</v>
      </c>
      <c r="M39" s="157">
        <f t="shared" si="9"/>
        <v>0</v>
      </c>
      <c r="N39" s="157">
        <f t="shared" si="9"/>
        <v>2590000</v>
      </c>
      <c r="O39" s="157">
        <f t="shared" si="9"/>
        <v>2590000</v>
      </c>
      <c r="P39" s="176">
        <f t="shared" si="2"/>
        <v>2640000</v>
      </c>
      <c r="Q39" s="131"/>
    </row>
    <row r="40" spans="1:17" s="99" customFormat="1" ht="30" x14ac:dyDescent="0.2">
      <c r="A40" s="98"/>
      <c r="B40" s="177">
        <v>7650</v>
      </c>
      <c r="C40" s="140" t="s">
        <v>49</v>
      </c>
      <c r="D40" s="180" t="s">
        <v>153</v>
      </c>
      <c r="E40" s="157"/>
      <c r="F40" s="157"/>
      <c r="G40" s="157"/>
      <c r="H40" s="157"/>
      <c r="I40" s="157"/>
      <c r="J40" s="157">
        <f t="shared" si="3"/>
        <v>40000</v>
      </c>
      <c r="K40" s="157">
        <f>L40+M40</f>
        <v>0</v>
      </c>
      <c r="L40" s="157"/>
      <c r="M40" s="157"/>
      <c r="N40" s="157">
        <f t="shared" si="5"/>
        <v>40000</v>
      </c>
      <c r="O40" s="154">
        <v>40000</v>
      </c>
      <c r="P40" s="176">
        <f t="shared" si="2"/>
        <v>40000</v>
      </c>
      <c r="Q40" s="131"/>
    </row>
    <row r="41" spans="1:17" s="99" customFormat="1" ht="30" x14ac:dyDescent="0.2">
      <c r="A41" s="98"/>
      <c r="B41" s="177">
        <v>7670</v>
      </c>
      <c r="C41" s="140" t="s">
        <v>49</v>
      </c>
      <c r="D41" s="180" t="s">
        <v>110</v>
      </c>
      <c r="E41" s="157"/>
      <c r="F41" s="157"/>
      <c r="G41" s="157"/>
      <c r="H41" s="157"/>
      <c r="I41" s="157"/>
      <c r="J41" s="157">
        <f t="shared" si="3"/>
        <v>2550000</v>
      </c>
      <c r="K41" s="157"/>
      <c r="L41" s="157"/>
      <c r="M41" s="157"/>
      <c r="N41" s="157">
        <f t="shared" si="5"/>
        <v>2550000</v>
      </c>
      <c r="O41" s="154">
        <f>3050000-1500000+1000000</f>
        <v>2550000</v>
      </c>
      <c r="P41" s="176">
        <f t="shared" si="2"/>
        <v>2550000</v>
      </c>
      <c r="Q41" s="131"/>
    </row>
    <row r="42" spans="1:17" s="99" customFormat="1" ht="15" customHeight="1" x14ac:dyDescent="0.2">
      <c r="A42" s="98"/>
      <c r="B42" s="177">
        <v>7693</v>
      </c>
      <c r="C42" s="140" t="s">
        <v>49</v>
      </c>
      <c r="D42" s="180" t="s">
        <v>161</v>
      </c>
      <c r="E42" s="157">
        <f>F42</f>
        <v>50000</v>
      </c>
      <c r="F42" s="157">
        <v>50000</v>
      </c>
      <c r="G42" s="157"/>
      <c r="H42" s="157"/>
      <c r="I42" s="157"/>
      <c r="J42" s="157">
        <f t="shared" si="3"/>
        <v>0</v>
      </c>
      <c r="K42" s="157"/>
      <c r="L42" s="157"/>
      <c r="M42" s="157"/>
      <c r="N42" s="157">
        <f t="shared" si="5"/>
        <v>0</v>
      </c>
      <c r="O42" s="157"/>
      <c r="P42" s="176">
        <f t="shared" si="2"/>
        <v>50000</v>
      </c>
      <c r="Q42" s="131"/>
    </row>
    <row r="43" spans="1:17" s="99" customFormat="1" ht="16.899999999999999" customHeight="1" x14ac:dyDescent="0.2">
      <c r="A43" s="98"/>
      <c r="B43" s="179">
        <v>8300</v>
      </c>
      <c r="C43" s="140"/>
      <c r="D43" s="175" t="s">
        <v>158</v>
      </c>
      <c r="E43" s="157">
        <f>E45</f>
        <v>0</v>
      </c>
      <c r="F43" s="157">
        <f t="shared" ref="F43:O43" si="10">F45</f>
        <v>0</v>
      </c>
      <c r="G43" s="157">
        <f t="shared" si="10"/>
        <v>0</v>
      </c>
      <c r="H43" s="157">
        <f t="shared" si="10"/>
        <v>0</v>
      </c>
      <c r="I43" s="157">
        <f t="shared" si="10"/>
        <v>0</v>
      </c>
      <c r="J43" s="157">
        <f>J44+J45</f>
        <v>411820</v>
      </c>
      <c r="K43" s="157">
        <f>K44+K45</f>
        <v>411820</v>
      </c>
      <c r="L43" s="157">
        <f t="shared" si="10"/>
        <v>0</v>
      </c>
      <c r="M43" s="157">
        <f t="shared" si="10"/>
        <v>0</v>
      </c>
      <c r="N43" s="157">
        <f t="shared" si="10"/>
        <v>0</v>
      </c>
      <c r="O43" s="157">
        <f t="shared" si="10"/>
        <v>0</v>
      </c>
      <c r="P43" s="176">
        <f t="shared" si="2"/>
        <v>411820</v>
      </c>
      <c r="Q43" s="131"/>
    </row>
    <row r="44" spans="1:17" s="99" customFormat="1" ht="15.6" customHeight="1" x14ac:dyDescent="0.2">
      <c r="A44" s="98"/>
      <c r="B44" s="179">
        <v>8311</v>
      </c>
      <c r="C44" s="140" t="s">
        <v>202</v>
      </c>
      <c r="D44" s="209" t="s">
        <v>203</v>
      </c>
      <c r="E44" s="157"/>
      <c r="F44" s="157"/>
      <c r="G44" s="157"/>
      <c r="H44" s="157"/>
      <c r="I44" s="157"/>
      <c r="J44" s="157">
        <f t="shared" si="3"/>
        <v>150000</v>
      </c>
      <c r="K44" s="157">
        <v>150000</v>
      </c>
      <c r="L44" s="157"/>
      <c r="M44" s="157"/>
      <c r="N44" s="157"/>
      <c r="O44" s="157"/>
      <c r="P44" s="176">
        <f t="shared" si="2"/>
        <v>150000</v>
      </c>
      <c r="Q44" s="131"/>
    </row>
    <row r="45" spans="1:17" s="99" customFormat="1" ht="17.45" customHeight="1" x14ac:dyDescent="0.2">
      <c r="A45" s="98"/>
      <c r="B45" s="177">
        <v>8340</v>
      </c>
      <c r="C45" s="140" t="s">
        <v>159</v>
      </c>
      <c r="D45" s="180" t="s">
        <v>176</v>
      </c>
      <c r="E45" s="154"/>
      <c r="F45" s="154"/>
      <c r="G45" s="157"/>
      <c r="H45" s="157"/>
      <c r="I45" s="157"/>
      <c r="J45" s="157">
        <f t="shared" si="3"/>
        <v>261820</v>
      </c>
      <c r="K45" s="154">
        <f>156000+105820</f>
        <v>261820</v>
      </c>
      <c r="L45" s="157"/>
      <c r="M45" s="157"/>
      <c r="N45" s="157"/>
      <c r="O45" s="154"/>
      <c r="P45" s="176">
        <f t="shared" si="2"/>
        <v>261820</v>
      </c>
      <c r="Q45" s="131"/>
    </row>
    <row r="46" spans="1:17" s="99" customFormat="1" ht="57" x14ac:dyDescent="0.2">
      <c r="A46" s="98"/>
      <c r="B46" s="179">
        <v>9700</v>
      </c>
      <c r="C46" s="140"/>
      <c r="D46" s="175" t="s">
        <v>160</v>
      </c>
      <c r="E46" s="157">
        <f>E47</f>
        <v>296040</v>
      </c>
      <c r="F46" s="157">
        <f>F47</f>
        <v>296040</v>
      </c>
      <c r="G46" s="157">
        <f>G47</f>
        <v>0</v>
      </c>
      <c r="H46" s="157">
        <f>H47</f>
        <v>0</v>
      </c>
      <c r="I46" s="157">
        <f>I47</f>
        <v>0</v>
      </c>
      <c r="J46" s="157">
        <f t="shared" si="3"/>
        <v>0</v>
      </c>
      <c r="K46" s="157">
        <f>K47</f>
        <v>0</v>
      </c>
      <c r="L46" s="157">
        <f>L47</f>
        <v>0</v>
      </c>
      <c r="M46" s="157">
        <f>M47</f>
        <v>0</v>
      </c>
      <c r="N46" s="157">
        <f>N47</f>
        <v>0</v>
      </c>
      <c r="O46" s="157">
        <f>O47</f>
        <v>0</v>
      </c>
      <c r="P46" s="176">
        <f t="shared" si="2"/>
        <v>296040</v>
      </c>
      <c r="Q46" s="131"/>
    </row>
    <row r="47" spans="1:17" s="99" customFormat="1" ht="18.600000000000001" customHeight="1" thickBot="1" x14ac:dyDescent="0.25">
      <c r="A47" s="98"/>
      <c r="B47" s="177">
        <v>9770</v>
      </c>
      <c r="C47" s="140" t="s">
        <v>111</v>
      </c>
      <c r="D47" s="182" t="s">
        <v>175</v>
      </c>
      <c r="E47" s="154">
        <f>117400+178640</f>
        <v>296040</v>
      </c>
      <c r="F47" s="154">
        <f>117400+178640</f>
        <v>296040</v>
      </c>
      <c r="G47" s="157"/>
      <c r="H47" s="157"/>
      <c r="I47" s="157"/>
      <c r="J47" s="157">
        <f t="shared" si="3"/>
        <v>0</v>
      </c>
      <c r="K47" s="157"/>
      <c r="L47" s="157"/>
      <c r="M47" s="157"/>
      <c r="N47" s="157">
        <f t="shared" si="5"/>
        <v>0</v>
      </c>
      <c r="O47" s="154"/>
      <c r="P47" s="176">
        <f t="shared" si="2"/>
        <v>296040</v>
      </c>
      <c r="Q47" s="131"/>
    </row>
    <row r="48" spans="1:17" s="99" customFormat="1" ht="40.15" customHeight="1" thickBot="1" x14ac:dyDescent="0.25">
      <c r="A48" s="98"/>
      <c r="B48" s="179">
        <v>9800</v>
      </c>
      <c r="C48" s="174" t="s">
        <v>111</v>
      </c>
      <c r="D48" s="199" t="s">
        <v>196</v>
      </c>
      <c r="E48" s="154">
        <f>F48</f>
        <v>650000</v>
      </c>
      <c r="F48" s="154">
        <f>200000+450000</f>
        <v>650000</v>
      </c>
      <c r="G48" s="157"/>
      <c r="H48" s="157"/>
      <c r="I48" s="157"/>
      <c r="J48" s="157">
        <f t="shared" si="3"/>
        <v>95000</v>
      </c>
      <c r="K48" s="157"/>
      <c r="L48" s="157"/>
      <c r="M48" s="157"/>
      <c r="N48" s="157">
        <f t="shared" si="5"/>
        <v>95000</v>
      </c>
      <c r="O48" s="154">
        <f>95000</f>
        <v>95000</v>
      </c>
      <c r="P48" s="176">
        <f t="shared" si="2"/>
        <v>745000</v>
      </c>
      <c r="Q48" s="131"/>
    </row>
    <row r="49" spans="1:17" s="99" customFormat="1" ht="18" customHeight="1" x14ac:dyDescent="0.2">
      <c r="A49" s="98"/>
      <c r="B49" s="177"/>
      <c r="C49" s="140"/>
      <c r="D49" s="183" t="s">
        <v>42</v>
      </c>
      <c r="E49" s="184">
        <f t="shared" ref="E49:P49" si="11">E11+E12+E15+E19+E23+E25+E31+E33+E39+E43+E46+E48</f>
        <v>49618844</v>
      </c>
      <c r="F49" s="184">
        <f t="shared" si="11"/>
        <v>49618844</v>
      </c>
      <c r="G49" s="184">
        <f t="shared" si="11"/>
        <v>22568941</v>
      </c>
      <c r="H49" s="184">
        <f t="shared" si="11"/>
        <v>5035711</v>
      </c>
      <c r="I49" s="184">
        <f t="shared" si="11"/>
        <v>0</v>
      </c>
      <c r="J49" s="184">
        <f t="shared" si="11"/>
        <v>26378173</v>
      </c>
      <c r="K49" s="184">
        <f t="shared" si="11"/>
        <v>2057450</v>
      </c>
      <c r="L49" s="184">
        <f t="shared" si="11"/>
        <v>0</v>
      </c>
      <c r="M49" s="184">
        <f t="shared" si="11"/>
        <v>0</v>
      </c>
      <c r="N49" s="184">
        <f t="shared" si="11"/>
        <v>24320723</v>
      </c>
      <c r="O49" s="184">
        <f t="shared" si="11"/>
        <v>24320723</v>
      </c>
      <c r="P49" s="184">
        <f t="shared" si="11"/>
        <v>75997017</v>
      </c>
      <c r="Q49" s="131"/>
    </row>
    <row r="50" spans="1:17" s="99" customFormat="1" ht="23.25" customHeight="1" x14ac:dyDescent="0.2">
      <c r="A50" s="98"/>
      <c r="B50" s="240" t="s">
        <v>112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</row>
    <row r="51" spans="1:17" s="99" customFormat="1" ht="23.25" customHeight="1" x14ac:dyDescent="0.2">
      <c r="A51" s="98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</row>
    <row r="52" spans="1:17" s="99" customFormat="1" ht="29.25" customHeight="1" x14ac:dyDescent="0.2">
      <c r="A52" s="98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</row>
    <row r="53" spans="1:17" s="99" customFormat="1" ht="27.75" customHeight="1" x14ac:dyDescent="0.2">
      <c r="A53" s="98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</row>
  </sheetData>
  <mergeCells count="26">
    <mergeCell ref="B1:P1"/>
    <mergeCell ref="L6:M6"/>
    <mergeCell ref="E5:I5"/>
    <mergeCell ref="I6:I8"/>
    <mergeCell ref="M2:Q2"/>
    <mergeCell ref="L7:L8"/>
    <mergeCell ref="C5:C8"/>
    <mergeCell ref="D5:D8"/>
    <mergeCell ref="E6:E8"/>
    <mergeCell ref="J5:O5"/>
    <mergeCell ref="M7:M8"/>
    <mergeCell ref="N6:N8"/>
    <mergeCell ref="O7:O8"/>
    <mergeCell ref="F6:F8"/>
    <mergeCell ref="K6:K8"/>
    <mergeCell ref="B3:P3"/>
    <mergeCell ref="G6:H6"/>
    <mergeCell ref="P5:P8"/>
    <mergeCell ref="B53:P53"/>
    <mergeCell ref="G7:G8"/>
    <mergeCell ref="H7:H8"/>
    <mergeCell ref="B5:B8"/>
    <mergeCell ref="J6:J8"/>
    <mergeCell ref="B51:Q51"/>
    <mergeCell ref="B52:Q52"/>
    <mergeCell ref="B50:P50"/>
  </mergeCells>
  <phoneticPr fontId="2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80" fitToHeight="0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showGridLines="0" showZeros="0" topLeftCell="I7" workbookViewId="0">
      <selection activeCell="J9" sqref="J9"/>
    </sheetView>
  </sheetViews>
  <sheetFormatPr defaultColWidth="9.1640625" defaultRowHeight="12.75" x14ac:dyDescent="0.2"/>
  <cols>
    <col min="1" max="1" width="0.33203125" style="16" hidden="1" customWidth="1"/>
    <col min="2" max="2" width="4.33203125" style="16" hidden="1" customWidth="1"/>
    <col min="3" max="3" width="1.1640625" style="16" hidden="1" customWidth="1"/>
    <col min="4" max="4" width="13.1640625" style="16" customWidth="1"/>
    <col min="5" max="5" width="43.5" style="16" customWidth="1"/>
    <col min="6" max="6" width="13" style="16" customWidth="1"/>
    <col min="7" max="7" width="12.1640625" style="16" customWidth="1"/>
    <col min="8" max="8" width="10.83203125" style="19" customWidth="1"/>
    <col min="9" max="9" width="15.33203125" style="19" customWidth="1"/>
    <col min="10" max="10" width="27.5" style="19" customWidth="1"/>
    <col min="11" max="11" width="15" style="19" customWidth="1"/>
    <col min="12" max="12" width="23.33203125" style="19" customWidth="1"/>
    <col min="13" max="13" width="16.33203125" style="16" customWidth="1"/>
    <col min="14" max="14" width="15.6640625" style="16" customWidth="1"/>
    <col min="15" max="15" width="18.33203125" style="16" customWidth="1"/>
    <col min="16" max="16" width="23.33203125" style="16" customWidth="1"/>
    <col min="17" max="17" width="18.6640625" style="16" customWidth="1"/>
    <col min="18" max="18" width="18.33203125" style="16" customWidth="1"/>
    <col min="19" max="19" width="21.33203125" style="16" customWidth="1"/>
    <col min="20" max="20" width="24.5" style="16" customWidth="1"/>
    <col min="21" max="21" width="21.33203125" style="16" customWidth="1"/>
    <col min="22" max="22" width="19.1640625" style="16" customWidth="1"/>
    <col min="23" max="23" width="19.33203125" style="16" customWidth="1"/>
    <col min="24" max="24" width="21.6640625" style="16" customWidth="1"/>
    <col min="25" max="25" width="19.33203125" style="16" customWidth="1"/>
    <col min="26" max="26" width="26.1640625" style="16" customWidth="1"/>
    <col min="27" max="27" width="37.33203125" style="16" customWidth="1"/>
    <col min="28" max="28" width="17.1640625" style="16" customWidth="1"/>
    <col min="29" max="29" width="20.1640625" style="16" customWidth="1"/>
    <col min="30" max="16384" width="9.1640625" style="16"/>
  </cols>
  <sheetData>
    <row r="1" spans="1:29" ht="22.5" customHeight="1" x14ac:dyDescent="0.25">
      <c r="D1" s="42"/>
      <c r="E1" s="42"/>
    </row>
    <row r="3" spans="1:29" ht="21.75" customHeight="1" x14ac:dyDescent="0.2"/>
    <row r="4" spans="1:29" ht="86.25" customHeight="1" x14ac:dyDescent="0.2">
      <c r="E4" s="13"/>
      <c r="F4" s="13"/>
      <c r="G4" s="13"/>
      <c r="H4" s="249" t="s">
        <v>225</v>
      </c>
      <c r="I4" s="249"/>
      <c r="J4" s="249"/>
      <c r="K4" s="249"/>
      <c r="L4" s="249"/>
      <c r="M4" s="249"/>
      <c r="N4" s="249"/>
    </row>
    <row r="5" spans="1:29" ht="67.5" customHeight="1" x14ac:dyDescent="0.2">
      <c r="A5" s="14"/>
      <c r="B5" s="14"/>
      <c r="C5" s="14"/>
      <c r="D5" s="244" t="s">
        <v>170</v>
      </c>
      <c r="E5" s="244"/>
      <c r="F5" s="244"/>
      <c r="G5" s="244"/>
      <c r="H5" s="244"/>
      <c r="I5" s="244"/>
      <c r="J5" s="244"/>
      <c r="K5" s="244"/>
      <c r="L5" s="244"/>
      <c r="M5" s="244"/>
      <c r="N5" s="244"/>
    </row>
    <row r="6" spans="1:29" ht="18" customHeight="1" x14ac:dyDescent="0.2">
      <c r="A6" s="14"/>
      <c r="B6" s="14"/>
      <c r="C6" s="14"/>
      <c r="D6" s="14"/>
      <c r="H6" s="48"/>
      <c r="I6" s="48"/>
      <c r="J6" s="48"/>
      <c r="K6" s="48"/>
      <c r="L6" s="21"/>
      <c r="M6" s="20"/>
      <c r="N6" s="71" t="s">
        <v>94</v>
      </c>
    </row>
    <row r="7" spans="1:29" s="87" customFormat="1" ht="48" customHeight="1" x14ac:dyDescent="0.25">
      <c r="A7" s="84" t="s">
        <v>34</v>
      </c>
      <c r="B7" s="85" t="s">
        <v>15</v>
      </c>
      <c r="C7" s="86">
        <v>0</v>
      </c>
      <c r="D7" s="241" t="s">
        <v>30</v>
      </c>
      <c r="E7" s="241" t="s">
        <v>31</v>
      </c>
      <c r="F7" s="245" t="s">
        <v>115</v>
      </c>
      <c r="G7" s="246"/>
      <c r="H7" s="254" t="s">
        <v>116</v>
      </c>
      <c r="I7" s="254"/>
      <c r="J7" s="254"/>
      <c r="K7" s="254"/>
      <c r="L7" s="254"/>
      <c r="M7" s="254"/>
      <c r="N7" s="254"/>
    </row>
    <row r="8" spans="1:29" s="87" customFormat="1" ht="30.75" customHeight="1" x14ac:dyDescent="0.25">
      <c r="A8" s="84" t="s">
        <v>33</v>
      </c>
      <c r="B8" s="85" t="s">
        <v>15</v>
      </c>
      <c r="C8" s="86">
        <v>0</v>
      </c>
      <c r="D8" s="242"/>
      <c r="E8" s="242"/>
      <c r="F8" s="247"/>
      <c r="G8" s="248"/>
      <c r="H8" s="250" t="s">
        <v>19</v>
      </c>
      <c r="I8" s="251"/>
      <c r="J8" s="251"/>
      <c r="K8" s="251"/>
      <c r="L8" s="251"/>
      <c r="M8" s="252" t="s">
        <v>134</v>
      </c>
      <c r="N8" s="253"/>
    </row>
    <row r="9" spans="1:29" s="87" customFormat="1" ht="143.44999999999999" customHeight="1" x14ac:dyDescent="0.25">
      <c r="A9" s="84" t="s">
        <v>35</v>
      </c>
      <c r="B9" s="85" t="s">
        <v>15</v>
      </c>
      <c r="C9" s="86">
        <v>0</v>
      </c>
      <c r="D9" s="243"/>
      <c r="E9" s="243"/>
      <c r="F9" s="136" t="s">
        <v>164</v>
      </c>
      <c r="G9" s="169" t="s">
        <v>137</v>
      </c>
      <c r="H9" s="169" t="s">
        <v>136</v>
      </c>
      <c r="I9" s="161" t="s">
        <v>172</v>
      </c>
      <c r="J9" s="161"/>
      <c r="K9" s="161" t="s">
        <v>220</v>
      </c>
      <c r="L9" s="161" t="s">
        <v>227</v>
      </c>
      <c r="M9" s="200"/>
      <c r="N9" s="161"/>
    </row>
    <row r="10" spans="1:29" ht="23.25" customHeight="1" x14ac:dyDescent="0.3">
      <c r="A10" s="22" t="s">
        <v>32</v>
      </c>
      <c r="B10" s="11" t="s">
        <v>15</v>
      </c>
      <c r="C10" s="45">
        <v>0</v>
      </c>
      <c r="D10" s="88">
        <v>420</v>
      </c>
      <c r="E10" s="88" t="s">
        <v>114</v>
      </c>
      <c r="F10" s="139" t="s">
        <v>165</v>
      </c>
      <c r="G10" s="139" t="s">
        <v>166</v>
      </c>
      <c r="H10" s="145" t="s">
        <v>167</v>
      </c>
      <c r="I10" s="145" t="s">
        <v>173</v>
      </c>
      <c r="J10" s="145" t="s">
        <v>233</v>
      </c>
      <c r="K10" s="145" t="s">
        <v>221</v>
      </c>
      <c r="L10" s="145" t="s">
        <v>226</v>
      </c>
      <c r="M10" s="145"/>
      <c r="N10" s="145"/>
    </row>
    <row r="11" spans="1:29" ht="39.75" customHeight="1" x14ac:dyDescent="0.3">
      <c r="A11" s="23">
        <v>13</v>
      </c>
      <c r="B11" s="12" t="s">
        <v>15</v>
      </c>
      <c r="C11" s="45">
        <v>0</v>
      </c>
      <c r="D11" s="46"/>
      <c r="E11" s="89" t="s">
        <v>23</v>
      </c>
      <c r="F11" s="158" t="s">
        <v>165</v>
      </c>
      <c r="G11" s="158" t="s">
        <v>166</v>
      </c>
      <c r="H11" s="47" t="s">
        <v>167</v>
      </c>
      <c r="I11" s="47" t="s">
        <v>173</v>
      </c>
      <c r="J11" s="164" t="s">
        <v>233</v>
      </c>
      <c r="K11" s="164" t="s">
        <v>221</v>
      </c>
      <c r="L11" s="164" t="s">
        <v>226</v>
      </c>
      <c r="M11" s="164"/>
      <c r="N11" s="164"/>
    </row>
    <row r="12" spans="1:29" s="24" customFormat="1" ht="31.5" customHeight="1" x14ac:dyDescent="0.2">
      <c r="A12" s="15"/>
      <c r="B12" s="17"/>
      <c r="C12" s="17"/>
      <c r="D12" s="16"/>
      <c r="E12" s="16"/>
      <c r="F12" s="16"/>
      <c r="G12" s="16"/>
      <c r="H12" s="19"/>
      <c r="I12" s="19"/>
      <c r="J12" s="19"/>
      <c r="K12" s="19"/>
      <c r="L12" s="19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ht="30" customHeight="1" x14ac:dyDescent="0.3">
      <c r="A13" s="18"/>
      <c r="B13" s="25"/>
      <c r="C13" s="25"/>
      <c r="E13" s="133" t="s">
        <v>117</v>
      </c>
      <c r="H13" s="134" t="s">
        <v>118</v>
      </c>
      <c r="I13" s="134"/>
      <c r="J13" s="134"/>
      <c r="K13" s="134"/>
    </row>
    <row r="14" spans="1:29" s="26" customFormat="1" x14ac:dyDescent="0.2">
      <c r="A14" s="27"/>
      <c r="B14" s="28"/>
      <c r="C14" s="28"/>
      <c r="D14" s="16"/>
      <c r="E14" s="16"/>
      <c r="F14" s="16"/>
      <c r="G14" s="16"/>
      <c r="H14" s="19"/>
      <c r="I14" s="19"/>
      <c r="J14" s="19"/>
      <c r="K14" s="19"/>
      <c r="L14" s="19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s="26" customFormat="1" x14ac:dyDescent="0.2">
      <c r="A15" s="27"/>
      <c r="B15" s="28"/>
      <c r="C15" s="28"/>
      <c r="D15" s="16"/>
      <c r="E15" s="16"/>
      <c r="F15" s="16"/>
      <c r="G15" s="16"/>
      <c r="H15" s="19"/>
      <c r="I15" s="19"/>
      <c r="J15" s="19"/>
      <c r="K15" s="19"/>
      <c r="L15" s="19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s="26" customFormat="1" x14ac:dyDescent="0.2">
      <c r="A16" s="27"/>
      <c r="B16" s="28"/>
      <c r="C16" s="28"/>
      <c r="D16" s="16"/>
      <c r="E16" s="16"/>
      <c r="F16" s="16"/>
      <c r="G16" s="16"/>
      <c r="H16" s="19"/>
      <c r="I16" s="19"/>
      <c r="J16" s="19"/>
      <c r="K16" s="19"/>
      <c r="L16" s="19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s="26" customFormat="1" x14ac:dyDescent="0.2">
      <c r="A17" s="27"/>
      <c r="B17" s="28"/>
      <c r="C17" s="28"/>
      <c r="D17" s="16"/>
      <c r="E17" s="16"/>
      <c r="F17" s="16"/>
      <c r="G17" s="16"/>
      <c r="H17" s="19"/>
      <c r="I17" s="19"/>
      <c r="J17" s="19"/>
      <c r="K17" s="19"/>
      <c r="L17" s="19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x14ac:dyDescent="0.2">
      <c r="A18" s="18"/>
      <c r="B18" s="25"/>
      <c r="C18" s="25"/>
    </row>
    <row r="19" spans="1:29" x14ac:dyDescent="0.2">
      <c r="A19" s="18"/>
      <c r="B19" s="25"/>
      <c r="C19" s="25"/>
    </row>
    <row r="20" spans="1:29" x14ac:dyDescent="0.2">
      <c r="A20" s="18"/>
      <c r="B20" s="25"/>
      <c r="C20" s="25"/>
    </row>
    <row r="21" spans="1:29" x14ac:dyDescent="0.2">
      <c r="A21" s="18"/>
      <c r="B21" s="25"/>
      <c r="C21" s="25"/>
    </row>
    <row r="22" spans="1:29" x14ac:dyDescent="0.2">
      <c r="A22" s="18"/>
      <c r="B22" s="25"/>
      <c r="C22" s="25"/>
    </row>
    <row r="23" spans="1:29" x14ac:dyDescent="0.2">
      <c r="A23" s="18"/>
      <c r="B23" s="25"/>
      <c r="C23" s="25"/>
    </row>
    <row r="24" spans="1:29" x14ac:dyDescent="0.2">
      <c r="A24" s="18"/>
      <c r="B24" s="25"/>
      <c r="C24" s="25"/>
    </row>
    <row r="25" spans="1:29" x14ac:dyDescent="0.2">
      <c r="A25" s="18"/>
      <c r="B25" s="25"/>
      <c r="C25" s="25"/>
    </row>
    <row r="26" spans="1:29" x14ac:dyDescent="0.2">
      <c r="A26" s="18"/>
      <c r="B26" s="25"/>
      <c r="C26" s="25"/>
    </row>
    <row r="27" spans="1:29" x14ac:dyDescent="0.2">
      <c r="A27" s="18"/>
      <c r="B27" s="25"/>
      <c r="C27" s="25"/>
    </row>
    <row r="28" spans="1:29" x14ac:dyDescent="0.2">
      <c r="A28" s="18"/>
      <c r="B28" s="25"/>
      <c r="C28" s="25"/>
    </row>
    <row r="29" spans="1:29" x14ac:dyDescent="0.2">
      <c r="A29" s="18"/>
      <c r="B29" s="25"/>
      <c r="C29" s="25"/>
    </row>
    <row r="30" spans="1:29" x14ac:dyDescent="0.2">
      <c r="A30" s="18"/>
      <c r="B30" s="25"/>
      <c r="C30" s="25"/>
    </row>
    <row r="31" spans="1:29" x14ac:dyDescent="0.2">
      <c r="A31" s="18"/>
      <c r="B31" s="25"/>
      <c r="C31" s="25"/>
    </row>
    <row r="32" spans="1:29" x14ac:dyDescent="0.2">
      <c r="A32" s="18"/>
      <c r="B32" s="25"/>
      <c r="C32" s="25"/>
    </row>
    <row r="33" spans="1:3" x14ac:dyDescent="0.2">
      <c r="A33" s="18"/>
      <c r="B33" s="25"/>
      <c r="C33" s="25"/>
    </row>
    <row r="34" spans="1:3" x14ac:dyDescent="0.2">
      <c r="A34" s="18"/>
      <c r="B34" s="25"/>
      <c r="C34" s="25"/>
    </row>
    <row r="35" spans="1:3" x14ac:dyDescent="0.2">
      <c r="A35" s="18"/>
      <c r="B35" s="25"/>
      <c r="C35" s="25"/>
    </row>
    <row r="36" spans="1:3" x14ac:dyDescent="0.2">
      <c r="A36" s="18"/>
      <c r="B36" s="25"/>
      <c r="C36" s="25"/>
    </row>
    <row r="37" spans="1:3" x14ac:dyDescent="0.2">
      <c r="A37" s="18"/>
      <c r="B37" s="25"/>
      <c r="C37" s="25"/>
    </row>
    <row r="38" spans="1:3" x14ac:dyDescent="0.2">
      <c r="A38" s="18"/>
      <c r="B38" s="25"/>
      <c r="C38" s="25"/>
    </row>
    <row r="39" spans="1:3" x14ac:dyDescent="0.2">
      <c r="A39" s="18"/>
      <c r="B39" s="25"/>
      <c r="C39" s="25"/>
    </row>
    <row r="40" spans="1:3" x14ac:dyDescent="0.2">
      <c r="A40" s="18"/>
      <c r="B40" s="25"/>
      <c r="C40" s="25"/>
    </row>
    <row r="41" spans="1:3" ht="44.25" customHeight="1" x14ac:dyDescent="0.2">
      <c r="A41" s="18"/>
    </row>
    <row r="42" spans="1:3" x14ac:dyDescent="0.2">
      <c r="A42" s="18"/>
    </row>
    <row r="43" spans="1:3" x14ac:dyDescent="0.2">
      <c r="A43" s="18"/>
    </row>
    <row r="44" spans="1:3" ht="16.5" thickBot="1" x14ac:dyDescent="0.3">
      <c r="C44" s="29"/>
    </row>
    <row r="54" ht="45.75" customHeight="1" x14ac:dyDescent="0.2"/>
  </sheetData>
  <mergeCells count="8">
    <mergeCell ref="D7:D9"/>
    <mergeCell ref="E7:E9"/>
    <mergeCell ref="D5:N5"/>
    <mergeCell ref="F7:G8"/>
    <mergeCell ref="H4:N4"/>
    <mergeCell ref="H8:L8"/>
    <mergeCell ref="M8:N8"/>
    <mergeCell ref="H7:N7"/>
  </mergeCells>
  <phoneticPr fontId="45" type="noConversion"/>
  <printOptions horizontalCentered="1"/>
  <pageMargins left="0.19685039370078741" right="0" top="0.59055118110236227" bottom="0.39370078740157483" header="0.31496062992125984" footer="0.31496062992125984"/>
  <pageSetup paperSize="9" scale="6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B13" zoomScaleNormal="100" zoomScaleSheetLayoutView="90" workbookViewId="0">
      <selection activeCell="B22" sqref="A22:IV22"/>
    </sheetView>
  </sheetViews>
  <sheetFormatPr defaultColWidth="9.1640625" defaultRowHeight="12.75" x14ac:dyDescent="0.2"/>
  <cols>
    <col min="1" max="1" width="3.83203125" style="6" hidden="1" customWidth="1"/>
    <col min="2" max="2" width="11.6640625" style="79" customWidth="1"/>
    <col min="3" max="3" width="8.33203125" style="79" customWidth="1"/>
    <col min="4" max="4" width="55.1640625" style="6" customWidth="1"/>
    <col min="5" max="5" width="45.83203125" style="6" customWidth="1"/>
    <col min="6" max="6" width="12" style="6" customWidth="1"/>
    <col min="7" max="7" width="15.5" style="6" customWidth="1"/>
    <col min="8" max="8" width="16.1640625" style="6" customWidth="1"/>
    <col min="9" max="9" width="13.1640625" style="6" customWidth="1"/>
    <col min="10" max="16384" width="9.1640625" style="5"/>
  </cols>
  <sheetData>
    <row r="1" spans="1:9" s="41" customFormat="1" ht="22.5" customHeight="1" x14ac:dyDescent="0.25">
      <c r="A1" s="40"/>
      <c r="B1" s="235"/>
      <c r="C1" s="235"/>
      <c r="D1" s="235"/>
      <c r="E1" s="235"/>
      <c r="F1" s="235"/>
      <c r="G1" s="235"/>
      <c r="H1" s="235"/>
      <c r="I1" s="235"/>
    </row>
    <row r="2" spans="1:9" ht="62.45" customHeight="1" x14ac:dyDescent="0.2">
      <c r="F2" s="249" t="s">
        <v>228</v>
      </c>
      <c r="G2" s="249"/>
      <c r="H2" s="249"/>
      <c r="I2" s="249"/>
    </row>
    <row r="3" spans="1:9" ht="23.45" customHeight="1" x14ac:dyDescent="0.2">
      <c r="A3" s="2"/>
      <c r="B3" s="257" t="s">
        <v>171</v>
      </c>
      <c r="C3" s="257"/>
      <c r="D3" s="257"/>
      <c r="E3" s="257"/>
      <c r="F3" s="257"/>
      <c r="G3" s="257"/>
      <c r="H3" s="257"/>
      <c r="I3" s="257"/>
    </row>
    <row r="4" spans="1:9" ht="14.45" customHeight="1" x14ac:dyDescent="0.2">
      <c r="B4" s="80"/>
      <c r="C4" s="80"/>
      <c r="D4" s="7"/>
      <c r="E4" s="90"/>
      <c r="F4" s="90"/>
      <c r="G4" s="91"/>
      <c r="H4" s="90"/>
      <c r="I4" s="71" t="s">
        <v>94</v>
      </c>
    </row>
    <row r="5" spans="1:9" ht="69" customHeight="1" x14ac:dyDescent="0.2">
      <c r="A5" s="83"/>
      <c r="B5" s="57" t="s">
        <v>54</v>
      </c>
      <c r="C5" s="57" t="s">
        <v>56</v>
      </c>
      <c r="D5" s="95" t="s">
        <v>53</v>
      </c>
      <c r="E5" s="72" t="s">
        <v>51</v>
      </c>
      <c r="F5" s="72" t="s">
        <v>43</v>
      </c>
      <c r="G5" s="72" t="s">
        <v>44</v>
      </c>
      <c r="H5" s="72" t="s">
        <v>45</v>
      </c>
      <c r="I5" s="72" t="s">
        <v>46</v>
      </c>
    </row>
    <row r="6" spans="1:9" s="31" customFormat="1" ht="16.899999999999999" customHeight="1" x14ac:dyDescent="0.2">
      <c r="A6" s="30"/>
      <c r="B6" s="81"/>
      <c r="C6" s="81"/>
      <c r="D6" s="73" t="s">
        <v>95</v>
      </c>
      <c r="E6" s="74"/>
      <c r="F6" s="74"/>
      <c r="G6" s="74"/>
      <c r="H6" s="74"/>
      <c r="I6" s="155">
        <f>I29</f>
        <v>24320723</v>
      </c>
    </row>
    <row r="7" spans="1:9" ht="17.45" customHeight="1" x14ac:dyDescent="0.2">
      <c r="B7" s="81"/>
      <c r="C7" s="81"/>
      <c r="D7" s="73" t="s">
        <v>96</v>
      </c>
      <c r="E7" s="75"/>
      <c r="F7" s="75"/>
      <c r="G7" s="75"/>
      <c r="H7" s="75"/>
      <c r="I7" s="156">
        <f>I29</f>
        <v>24320723</v>
      </c>
    </row>
    <row r="8" spans="1:9" ht="75" x14ac:dyDescent="0.2">
      <c r="B8" s="140" t="s">
        <v>142</v>
      </c>
      <c r="C8" s="140" t="s">
        <v>29</v>
      </c>
      <c r="D8" s="180" t="s">
        <v>143</v>
      </c>
      <c r="E8" s="162" t="s">
        <v>179</v>
      </c>
      <c r="F8" s="75"/>
      <c r="G8" s="75"/>
      <c r="H8" s="75"/>
      <c r="I8" s="165">
        <v>400000</v>
      </c>
    </row>
    <row r="9" spans="1:9" ht="75" x14ac:dyDescent="0.2">
      <c r="B9" s="140" t="s">
        <v>142</v>
      </c>
      <c r="C9" s="140" t="s">
        <v>29</v>
      </c>
      <c r="D9" s="180" t="s">
        <v>143</v>
      </c>
      <c r="E9" s="162" t="s">
        <v>208</v>
      </c>
      <c r="F9" s="75"/>
      <c r="G9" s="75"/>
      <c r="H9" s="75"/>
      <c r="I9" s="165">
        <f>360000+35000+10000+25000+38000</f>
        <v>468000</v>
      </c>
    </row>
    <row r="10" spans="1:9" ht="15" customHeight="1" x14ac:dyDescent="0.2">
      <c r="B10" s="177">
        <v>1010</v>
      </c>
      <c r="C10" s="140" t="s">
        <v>97</v>
      </c>
      <c r="D10" s="178" t="s">
        <v>144</v>
      </c>
      <c r="E10" s="137" t="s">
        <v>138</v>
      </c>
      <c r="F10" s="77"/>
      <c r="G10" s="77"/>
      <c r="H10" s="77"/>
      <c r="I10" s="135">
        <f>5000000+1500000</f>
        <v>6500000</v>
      </c>
    </row>
    <row r="11" spans="1:9" ht="40.15" customHeight="1" x14ac:dyDescent="0.2">
      <c r="B11" s="177">
        <v>1010</v>
      </c>
      <c r="C11" s="140" t="s">
        <v>97</v>
      </c>
      <c r="D11" s="178" t="s">
        <v>144</v>
      </c>
      <c r="E11" s="209" t="s">
        <v>198</v>
      </c>
      <c r="F11" s="77"/>
      <c r="G11" s="77"/>
      <c r="H11" s="77"/>
      <c r="I11" s="135">
        <v>193000</v>
      </c>
    </row>
    <row r="12" spans="1:9" ht="51" x14ac:dyDescent="0.2">
      <c r="B12" s="177">
        <v>1010</v>
      </c>
      <c r="C12" s="140" t="s">
        <v>97</v>
      </c>
      <c r="D12" s="178" t="s">
        <v>144</v>
      </c>
      <c r="E12" s="159" t="s">
        <v>230</v>
      </c>
      <c r="F12" s="77"/>
      <c r="G12" s="77"/>
      <c r="H12" s="77"/>
      <c r="I12" s="135">
        <f>150000+100000+197000</f>
        <v>447000</v>
      </c>
    </row>
    <row r="13" spans="1:9" ht="28.15" customHeight="1" x14ac:dyDescent="0.2">
      <c r="B13" s="177">
        <v>4060</v>
      </c>
      <c r="C13" s="140" t="s">
        <v>103</v>
      </c>
      <c r="D13" s="181" t="s">
        <v>163</v>
      </c>
      <c r="E13" s="137" t="s">
        <v>180</v>
      </c>
      <c r="F13" s="77"/>
      <c r="G13" s="77"/>
      <c r="H13" s="77"/>
      <c r="I13" s="165">
        <v>1500000</v>
      </c>
    </row>
    <row r="14" spans="1:9" ht="28.15" customHeight="1" x14ac:dyDescent="0.2">
      <c r="B14" s="177">
        <v>4060</v>
      </c>
      <c r="C14" s="140" t="s">
        <v>103</v>
      </c>
      <c r="D14" s="181" t="s">
        <v>163</v>
      </c>
      <c r="E14" s="137" t="s">
        <v>207</v>
      </c>
      <c r="F14" s="77"/>
      <c r="G14" s="77"/>
      <c r="H14" s="77"/>
      <c r="I14" s="165">
        <v>61600</v>
      </c>
    </row>
    <row r="15" spans="1:9" ht="17.45" customHeight="1" x14ac:dyDescent="0.2">
      <c r="B15" s="177">
        <v>4082</v>
      </c>
      <c r="C15" s="140" t="s">
        <v>149</v>
      </c>
      <c r="D15" s="181" t="s">
        <v>191</v>
      </c>
      <c r="E15" s="137" t="s">
        <v>205</v>
      </c>
      <c r="F15" s="77"/>
      <c r="G15" s="77"/>
      <c r="H15" s="77"/>
      <c r="I15" s="165">
        <v>10000</v>
      </c>
    </row>
    <row r="16" spans="1:9" ht="17.45" customHeight="1" x14ac:dyDescent="0.2">
      <c r="B16" s="177">
        <v>6011</v>
      </c>
      <c r="C16" s="140" t="s">
        <v>109</v>
      </c>
      <c r="D16" s="180" t="s">
        <v>154</v>
      </c>
      <c r="E16" s="109" t="s">
        <v>108</v>
      </c>
      <c r="F16" s="77"/>
      <c r="G16" s="77"/>
      <c r="H16" s="77"/>
      <c r="I16" s="165">
        <f>300000+693347</f>
        <v>993347</v>
      </c>
    </row>
    <row r="17" spans="2:16" ht="40.15" customHeight="1" x14ac:dyDescent="0.25">
      <c r="B17" s="177">
        <v>6016</v>
      </c>
      <c r="C17" s="140" t="s">
        <v>109</v>
      </c>
      <c r="D17" s="198" t="s">
        <v>204</v>
      </c>
      <c r="E17" s="198" t="s">
        <v>206</v>
      </c>
      <c r="F17" s="77"/>
      <c r="G17" s="77"/>
      <c r="H17" s="77"/>
      <c r="I17" s="165">
        <v>1500000</v>
      </c>
    </row>
    <row r="18" spans="2:16" ht="15" x14ac:dyDescent="0.2">
      <c r="B18" s="177">
        <v>6030</v>
      </c>
      <c r="C18" s="140" t="s">
        <v>109</v>
      </c>
      <c r="D18" s="180" t="s">
        <v>150</v>
      </c>
      <c r="E18" s="137" t="s">
        <v>181</v>
      </c>
      <c r="F18" s="77"/>
      <c r="G18" s="77"/>
      <c r="H18" s="77"/>
      <c r="I18" s="166">
        <v>3000000</v>
      </c>
    </row>
    <row r="19" spans="2:16" ht="15" x14ac:dyDescent="0.2">
      <c r="B19" s="177">
        <v>6030</v>
      </c>
      <c r="C19" s="140" t="s">
        <v>109</v>
      </c>
      <c r="D19" s="180" t="s">
        <v>150</v>
      </c>
      <c r="E19" s="137" t="s">
        <v>182</v>
      </c>
      <c r="F19" s="77"/>
      <c r="G19" s="77"/>
      <c r="H19" s="77"/>
      <c r="I19" s="166">
        <v>296000</v>
      </c>
    </row>
    <row r="20" spans="2:16" ht="25.5" x14ac:dyDescent="0.2">
      <c r="B20" s="177">
        <v>6030</v>
      </c>
      <c r="C20" s="140" t="s">
        <v>109</v>
      </c>
      <c r="D20" s="180" t="s">
        <v>150</v>
      </c>
      <c r="E20" s="209" t="s">
        <v>199</v>
      </c>
      <c r="F20" s="77"/>
      <c r="G20" s="77"/>
      <c r="H20" s="77"/>
      <c r="I20" s="166">
        <v>300000</v>
      </c>
    </row>
    <row r="21" spans="2:16" ht="25.5" x14ac:dyDescent="0.2">
      <c r="B21" s="177">
        <v>6030</v>
      </c>
      <c r="C21" s="140" t="s">
        <v>109</v>
      </c>
      <c r="D21" s="180" t="s">
        <v>150</v>
      </c>
      <c r="E21" s="209" t="s">
        <v>218</v>
      </c>
      <c r="F21" s="77"/>
      <c r="G21" s="77"/>
      <c r="H21" s="77"/>
      <c r="I21" s="166">
        <v>350000</v>
      </c>
    </row>
    <row r="22" spans="2:16" ht="18" customHeight="1" x14ac:dyDescent="0.2">
      <c r="B22" s="177">
        <v>7310</v>
      </c>
      <c r="C22" s="140" t="s">
        <v>156</v>
      </c>
      <c r="D22" s="180" t="s">
        <v>157</v>
      </c>
      <c r="E22" s="137" t="s">
        <v>183</v>
      </c>
      <c r="F22" s="77"/>
      <c r="G22" s="77"/>
      <c r="H22" s="77"/>
      <c r="I22" s="165">
        <v>2910000</v>
      </c>
    </row>
    <row r="23" spans="2:16" ht="26.45" customHeight="1" x14ac:dyDescent="0.2">
      <c r="B23" s="177">
        <v>7321</v>
      </c>
      <c r="C23" s="140" t="s">
        <v>156</v>
      </c>
      <c r="D23" s="180" t="s">
        <v>169</v>
      </c>
      <c r="E23" s="137" t="s">
        <v>229</v>
      </c>
      <c r="F23" s="77"/>
      <c r="G23" s="77"/>
      <c r="H23" s="77"/>
      <c r="I23" s="165">
        <f>414000-414000+506776</f>
        <v>506776</v>
      </c>
    </row>
    <row r="24" spans="2:16" ht="29.45" customHeight="1" x14ac:dyDescent="0.2">
      <c r="B24" s="177">
        <v>7330</v>
      </c>
      <c r="C24" s="140" t="s">
        <v>156</v>
      </c>
      <c r="D24" s="180" t="s">
        <v>168</v>
      </c>
      <c r="E24" s="162" t="s">
        <v>184</v>
      </c>
      <c r="F24" s="77"/>
      <c r="G24" s="77"/>
      <c r="H24" s="77"/>
      <c r="I24" s="165">
        <v>1500000</v>
      </c>
    </row>
    <row r="25" spans="2:16" ht="28.9" customHeight="1" x14ac:dyDescent="0.2">
      <c r="B25" s="177">
        <v>7370</v>
      </c>
      <c r="C25" s="140" t="s">
        <v>49</v>
      </c>
      <c r="D25" s="180" t="s">
        <v>155</v>
      </c>
      <c r="E25" s="137" t="s">
        <v>120</v>
      </c>
      <c r="F25" s="77"/>
      <c r="G25" s="77"/>
      <c r="H25" s="77"/>
      <c r="I25" s="165">
        <v>700000</v>
      </c>
    </row>
    <row r="26" spans="2:16" ht="28.15" customHeight="1" x14ac:dyDescent="0.2">
      <c r="B26" s="177">
        <v>7650</v>
      </c>
      <c r="C26" s="140" t="s">
        <v>49</v>
      </c>
      <c r="D26" s="180" t="s">
        <v>153</v>
      </c>
      <c r="E26" s="138" t="s">
        <v>119</v>
      </c>
      <c r="F26" s="77"/>
      <c r="G26" s="77"/>
      <c r="H26" s="77"/>
      <c r="I26" s="165">
        <v>40000</v>
      </c>
    </row>
    <row r="27" spans="2:16" ht="15" customHeight="1" thickBot="1" x14ac:dyDescent="0.25">
      <c r="B27" s="177">
        <v>7670</v>
      </c>
      <c r="C27" s="140" t="s">
        <v>49</v>
      </c>
      <c r="D27" s="180" t="s">
        <v>110</v>
      </c>
      <c r="E27" s="137" t="s">
        <v>135</v>
      </c>
      <c r="F27" s="77"/>
      <c r="G27" s="77"/>
      <c r="H27" s="77"/>
      <c r="I27" s="165">
        <f>3050000-1500000+1000000</f>
        <v>2550000</v>
      </c>
    </row>
    <row r="28" spans="2:16" ht="30.6" customHeight="1" thickBot="1" x14ac:dyDescent="0.25">
      <c r="B28" s="177">
        <v>9800</v>
      </c>
      <c r="C28" s="140" t="s">
        <v>111</v>
      </c>
      <c r="D28" s="210" t="s">
        <v>200</v>
      </c>
      <c r="E28" s="137" t="s">
        <v>201</v>
      </c>
      <c r="F28" s="77"/>
      <c r="G28" s="77"/>
      <c r="H28" s="77"/>
      <c r="I28" s="165">
        <v>95000</v>
      </c>
    </row>
    <row r="29" spans="2:16" ht="16.149999999999999" customHeight="1" x14ac:dyDescent="0.2">
      <c r="B29" s="76"/>
      <c r="C29" s="82"/>
      <c r="D29" s="73" t="s">
        <v>42</v>
      </c>
      <c r="E29" s="78"/>
      <c r="F29" s="78"/>
      <c r="G29" s="78"/>
      <c r="H29" s="78"/>
      <c r="I29" s="167">
        <f>SUM(I8:I28)</f>
        <v>24320723</v>
      </c>
    </row>
    <row r="30" spans="2:16" x14ac:dyDescent="0.2">
      <c r="I30" s="160"/>
    </row>
    <row r="31" spans="2:16" ht="27.6" customHeight="1" x14ac:dyDescent="0.2">
      <c r="B31" s="256" t="s">
        <v>121</v>
      </c>
      <c r="C31" s="256"/>
      <c r="D31" s="256"/>
      <c r="E31" s="256"/>
      <c r="F31" s="256"/>
      <c r="G31" s="256"/>
      <c r="H31" s="256"/>
      <c r="I31" s="256"/>
      <c r="J31" s="94"/>
      <c r="K31" s="94"/>
      <c r="L31" s="94"/>
      <c r="M31" s="94"/>
      <c r="N31" s="94"/>
      <c r="O31" s="94"/>
      <c r="P31" s="94"/>
    </row>
    <row r="32" spans="2:16" ht="20.25" customHeight="1" x14ac:dyDescent="0.2"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</row>
    <row r="33" spans="2:16" ht="20.25" customHeight="1" x14ac:dyDescent="0.2"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</row>
    <row r="34" spans="2:16" ht="36.75" customHeight="1" x14ac:dyDescent="0.2">
      <c r="B34" s="255"/>
      <c r="C34" s="255"/>
      <c r="D34" s="255"/>
      <c r="E34" s="255"/>
      <c r="F34" s="255"/>
      <c r="G34" s="255"/>
      <c r="H34" s="255"/>
      <c r="I34" s="255"/>
      <c r="J34" s="97"/>
      <c r="K34" s="97"/>
      <c r="L34" s="97"/>
      <c r="M34" s="97"/>
      <c r="N34" s="97"/>
      <c r="O34" s="97"/>
      <c r="P34" s="97"/>
    </row>
    <row r="35" spans="2:16" ht="21" customHeight="1" x14ac:dyDescent="0.2"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</row>
  </sheetData>
  <mergeCells count="8">
    <mergeCell ref="F2:I2"/>
    <mergeCell ref="B1:I1"/>
    <mergeCell ref="B33:P33"/>
    <mergeCell ref="B35:P35"/>
    <mergeCell ref="B34:I34"/>
    <mergeCell ref="B32:P32"/>
    <mergeCell ref="B31:I31"/>
    <mergeCell ref="B3:I3"/>
  </mergeCells>
  <phoneticPr fontId="26" type="noConversion"/>
  <printOptions horizontalCentered="1"/>
  <pageMargins left="0.82677165354330717" right="0" top="0.31496062992125984" bottom="0.31496062992125984" header="0.23622047244094491" footer="0.19685039370078741"/>
  <pageSetup paperSize="9" scale="85" orientation="landscape" r:id="rId1"/>
  <headerFooter alignWithMargins="0">
    <oddFooter>&amp;R&amp;P</oddFooter>
  </headerFooter>
  <rowBreaks count="1" manualBreakCount="1">
    <brk id="3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B7" zoomScaleNormal="100" zoomScaleSheetLayoutView="100" workbookViewId="0">
      <selection activeCell="D12" sqref="D12"/>
    </sheetView>
  </sheetViews>
  <sheetFormatPr defaultColWidth="9.1640625" defaultRowHeight="12.75" x14ac:dyDescent="0.2"/>
  <cols>
    <col min="1" max="1" width="3.83203125" style="6" hidden="1" customWidth="1"/>
    <col min="2" max="2" width="13.5" style="79" customWidth="1"/>
    <col min="3" max="3" width="14.33203125" style="79" customWidth="1"/>
    <col min="4" max="4" width="65.6640625" style="6" customWidth="1"/>
    <col min="5" max="5" width="58.83203125" style="6" customWidth="1"/>
    <col min="6" max="6" width="14" style="6" customWidth="1"/>
    <col min="7" max="7" width="19" style="6" customWidth="1"/>
    <col min="8" max="8" width="25.5" style="6" customWidth="1"/>
    <col min="9" max="9" width="4.33203125" style="5" customWidth="1"/>
    <col min="10" max="16384" width="9.1640625" style="5"/>
  </cols>
  <sheetData>
    <row r="1" spans="1:8" s="41" customFormat="1" ht="13.5" customHeight="1" x14ac:dyDescent="0.25">
      <c r="A1" s="40"/>
      <c r="B1" s="235"/>
      <c r="C1" s="235"/>
      <c r="D1" s="235"/>
      <c r="E1" s="235"/>
      <c r="F1" s="235"/>
      <c r="G1" s="235"/>
      <c r="H1" s="235"/>
    </row>
    <row r="2" spans="1:8" ht="57.6" customHeight="1" x14ac:dyDescent="0.2">
      <c r="B2" s="54"/>
      <c r="C2" s="54"/>
      <c r="D2" s="273"/>
      <c r="E2" s="273"/>
      <c r="F2" s="221" t="s">
        <v>231</v>
      </c>
      <c r="G2" s="221"/>
      <c r="H2" s="221"/>
    </row>
    <row r="3" spans="1:8" ht="27.6" customHeight="1" x14ac:dyDescent="0.2">
      <c r="A3" s="2"/>
      <c r="B3" s="278" t="s">
        <v>234</v>
      </c>
      <c r="C3" s="258"/>
      <c r="D3" s="258"/>
      <c r="E3" s="258"/>
      <c r="F3" s="258"/>
      <c r="G3" s="258"/>
      <c r="H3" s="258"/>
    </row>
    <row r="4" spans="1:8" ht="18.75" x14ac:dyDescent="0.2">
      <c r="B4" s="274"/>
      <c r="C4" s="274"/>
      <c r="D4" s="275"/>
      <c r="E4" s="276"/>
      <c r="F4" s="276"/>
      <c r="G4" s="220"/>
      <c r="H4" s="277" t="s">
        <v>94</v>
      </c>
    </row>
    <row r="5" spans="1:8" ht="57.6" customHeight="1" x14ac:dyDescent="0.2">
      <c r="A5" s="83"/>
      <c r="B5" s="92" t="s">
        <v>54</v>
      </c>
      <c r="C5" s="57" t="s">
        <v>56</v>
      </c>
      <c r="D5" s="144" t="s">
        <v>53</v>
      </c>
      <c r="E5" s="72" t="s">
        <v>47</v>
      </c>
      <c r="F5" s="93" t="s">
        <v>20</v>
      </c>
      <c r="G5" s="72" t="s">
        <v>21</v>
      </c>
      <c r="H5" s="72" t="s">
        <v>48</v>
      </c>
    </row>
    <row r="6" spans="1:8" s="31" customFormat="1" ht="18.600000000000001" customHeight="1" x14ac:dyDescent="0.2">
      <c r="A6" s="30"/>
      <c r="B6" s="81"/>
      <c r="C6" s="81"/>
      <c r="D6" s="73" t="s">
        <v>95</v>
      </c>
      <c r="E6" s="74"/>
      <c r="F6" s="155">
        <f>F42</f>
        <v>18219798</v>
      </c>
      <c r="G6" s="155">
        <f>G42</f>
        <v>24535543</v>
      </c>
      <c r="H6" s="155">
        <f>H42</f>
        <v>42755341</v>
      </c>
    </row>
    <row r="7" spans="1:8" ht="20.45" customHeight="1" x14ac:dyDescent="0.2">
      <c r="B7" s="81"/>
      <c r="C7" s="81"/>
      <c r="D7" s="73" t="s">
        <v>122</v>
      </c>
      <c r="E7" s="137"/>
      <c r="F7" s="156">
        <f>F42</f>
        <v>18219798</v>
      </c>
      <c r="G7" s="156">
        <f>G42</f>
        <v>24535543</v>
      </c>
      <c r="H7" s="156">
        <f>H42</f>
        <v>42755341</v>
      </c>
    </row>
    <row r="8" spans="1:8" ht="39" customHeight="1" x14ac:dyDescent="0.2">
      <c r="B8" s="140" t="s">
        <v>142</v>
      </c>
      <c r="C8" s="140" t="s">
        <v>29</v>
      </c>
      <c r="D8" s="180" t="s">
        <v>143</v>
      </c>
      <c r="E8" s="267" t="s">
        <v>222</v>
      </c>
      <c r="F8" s="135">
        <f>50000+90000+150000+20000+193433+12840+5000+423352+93148+1730980+454605</f>
        <v>3223358</v>
      </c>
      <c r="G8" s="135">
        <f>35000+10000+38000</f>
        <v>83000</v>
      </c>
      <c r="H8" s="156">
        <f t="shared" ref="H8:H41" si="0">F8+G8</f>
        <v>3306358</v>
      </c>
    </row>
    <row r="9" spans="1:8" ht="26.45" customHeight="1" x14ac:dyDescent="0.2">
      <c r="B9" s="192">
        <v>7321</v>
      </c>
      <c r="C9" s="191" t="s">
        <v>156</v>
      </c>
      <c r="D9" s="109" t="s">
        <v>169</v>
      </c>
      <c r="E9" s="268"/>
      <c r="F9" s="135"/>
      <c r="G9" s="135">
        <v>506776</v>
      </c>
      <c r="H9" s="156">
        <f t="shared" si="0"/>
        <v>506776</v>
      </c>
    </row>
    <row r="10" spans="1:8" ht="39" customHeight="1" x14ac:dyDescent="0.2">
      <c r="B10" s="177">
        <v>1010</v>
      </c>
      <c r="C10" s="140" t="s">
        <v>97</v>
      </c>
      <c r="D10" s="178" t="s">
        <v>144</v>
      </c>
      <c r="E10" s="269"/>
      <c r="F10" s="135">
        <f>317000+1000000</f>
        <v>1317000</v>
      </c>
      <c r="G10" s="135">
        <f>100000</f>
        <v>100000</v>
      </c>
      <c r="H10" s="156">
        <f t="shared" si="0"/>
        <v>1417000</v>
      </c>
    </row>
    <row r="11" spans="1:8" ht="45.6" customHeight="1" x14ac:dyDescent="0.2">
      <c r="B11" s="177">
        <v>3140</v>
      </c>
      <c r="C11" s="140" t="s">
        <v>100</v>
      </c>
      <c r="D11" s="180" t="s">
        <v>101</v>
      </c>
      <c r="E11" s="142" t="s">
        <v>185</v>
      </c>
      <c r="F11" s="154">
        <f>190000-178640</f>
        <v>11360</v>
      </c>
      <c r="G11" s="157"/>
      <c r="H11" s="156">
        <f t="shared" si="0"/>
        <v>11360</v>
      </c>
    </row>
    <row r="12" spans="1:8" ht="28.15" customHeight="1" x14ac:dyDescent="0.2">
      <c r="B12" s="177">
        <v>3242</v>
      </c>
      <c r="C12" s="140" t="s">
        <v>99</v>
      </c>
      <c r="D12" s="180" t="s">
        <v>189</v>
      </c>
      <c r="E12" s="190" t="s">
        <v>186</v>
      </c>
      <c r="F12" s="154">
        <v>214000</v>
      </c>
      <c r="G12" s="154"/>
      <c r="H12" s="156">
        <f t="shared" si="0"/>
        <v>214000</v>
      </c>
    </row>
    <row r="13" spans="1:8" ht="28.15" customHeight="1" x14ac:dyDescent="0.2">
      <c r="B13" s="177">
        <v>4060</v>
      </c>
      <c r="C13" s="140" t="s">
        <v>103</v>
      </c>
      <c r="D13" s="181" t="s">
        <v>163</v>
      </c>
      <c r="E13" s="262" t="s">
        <v>209</v>
      </c>
      <c r="F13" s="154">
        <v>18400</v>
      </c>
      <c r="G13" s="154">
        <v>61600</v>
      </c>
      <c r="H13" s="156">
        <f t="shared" si="0"/>
        <v>80000</v>
      </c>
    </row>
    <row r="14" spans="1:8" ht="28.15" customHeight="1" x14ac:dyDescent="0.2">
      <c r="B14" s="177">
        <v>4081</v>
      </c>
      <c r="C14" s="140" t="s">
        <v>149</v>
      </c>
      <c r="D14" s="181" t="s">
        <v>190</v>
      </c>
      <c r="E14" s="263"/>
      <c r="F14" s="154">
        <v>106752</v>
      </c>
      <c r="G14" s="154"/>
      <c r="H14" s="156">
        <f t="shared" si="0"/>
        <v>106752</v>
      </c>
    </row>
    <row r="15" spans="1:8" ht="39" customHeight="1" x14ac:dyDescent="0.2">
      <c r="B15" s="177">
        <v>4082</v>
      </c>
      <c r="C15" s="140" t="s">
        <v>149</v>
      </c>
      <c r="D15" s="181" t="s">
        <v>191</v>
      </c>
      <c r="E15" s="264"/>
      <c r="F15" s="154">
        <f>490000+50000+100000</f>
        <v>640000</v>
      </c>
      <c r="G15" s="154">
        <v>10000</v>
      </c>
      <c r="H15" s="156">
        <f t="shared" si="0"/>
        <v>650000</v>
      </c>
    </row>
    <row r="16" spans="1:8" ht="43.15" customHeight="1" x14ac:dyDescent="0.2">
      <c r="B16" s="177">
        <v>5061</v>
      </c>
      <c r="C16" s="140" t="s">
        <v>105</v>
      </c>
      <c r="D16" s="181" t="s">
        <v>130</v>
      </c>
      <c r="E16" s="137" t="s">
        <v>210</v>
      </c>
      <c r="F16" s="154">
        <f>396282+6000</f>
        <v>402282</v>
      </c>
      <c r="G16" s="154"/>
      <c r="H16" s="156">
        <f t="shared" si="0"/>
        <v>402282</v>
      </c>
    </row>
    <row r="17" spans="2:8" ht="43.15" customHeight="1" x14ac:dyDescent="0.2">
      <c r="B17" s="191" t="s">
        <v>142</v>
      </c>
      <c r="C17" s="191" t="s">
        <v>29</v>
      </c>
      <c r="D17" s="109" t="s">
        <v>143</v>
      </c>
      <c r="E17" s="259" t="s">
        <v>212</v>
      </c>
      <c r="F17" s="154"/>
      <c r="G17" s="154">
        <f>760000+25000</f>
        <v>785000</v>
      </c>
      <c r="H17" s="156">
        <f t="shared" si="0"/>
        <v>785000</v>
      </c>
    </row>
    <row r="18" spans="2:8" ht="13.9" customHeight="1" x14ac:dyDescent="0.2">
      <c r="B18" s="192">
        <v>1010</v>
      </c>
      <c r="C18" s="191" t="s">
        <v>97</v>
      </c>
      <c r="D18" s="136" t="s">
        <v>144</v>
      </c>
      <c r="E18" s="260"/>
      <c r="F18" s="154">
        <v>469843</v>
      </c>
      <c r="G18" s="154">
        <f>5150000+1500000</f>
        <v>6650000</v>
      </c>
      <c r="H18" s="156">
        <f t="shared" si="0"/>
        <v>7119843</v>
      </c>
    </row>
    <row r="19" spans="2:8" ht="13.9" customHeight="1" x14ac:dyDescent="0.2">
      <c r="B19" s="192">
        <v>3210</v>
      </c>
      <c r="C19" s="191" t="s">
        <v>131</v>
      </c>
      <c r="D19" s="109" t="s">
        <v>132</v>
      </c>
      <c r="E19" s="260"/>
      <c r="F19" s="154">
        <v>571282</v>
      </c>
      <c r="G19" s="154"/>
      <c r="H19" s="156">
        <f t="shared" si="0"/>
        <v>571282</v>
      </c>
    </row>
    <row r="20" spans="2:8" ht="27" customHeight="1" x14ac:dyDescent="0.2">
      <c r="B20" s="192">
        <v>4060</v>
      </c>
      <c r="C20" s="191" t="s">
        <v>103</v>
      </c>
      <c r="D20" s="193" t="s">
        <v>163</v>
      </c>
      <c r="E20" s="260"/>
      <c r="F20" s="154"/>
      <c r="G20" s="154">
        <v>1500000</v>
      </c>
      <c r="H20" s="156">
        <f t="shared" si="0"/>
        <v>1500000</v>
      </c>
    </row>
    <row r="21" spans="2:8" ht="27" customHeight="1" x14ac:dyDescent="0.2">
      <c r="B21" s="177">
        <v>6013</v>
      </c>
      <c r="C21" s="140" t="s">
        <v>109</v>
      </c>
      <c r="D21" s="211" t="s">
        <v>197</v>
      </c>
      <c r="E21" s="260"/>
      <c r="F21" s="154">
        <v>100000</v>
      </c>
      <c r="G21" s="154"/>
      <c r="H21" s="156">
        <f t="shared" si="0"/>
        <v>100000</v>
      </c>
    </row>
    <row r="22" spans="2:8" ht="15" x14ac:dyDescent="0.2">
      <c r="B22" s="192">
        <v>6030</v>
      </c>
      <c r="C22" s="191" t="s">
        <v>109</v>
      </c>
      <c r="D22" s="109" t="s">
        <v>150</v>
      </c>
      <c r="E22" s="260"/>
      <c r="F22" s="154">
        <f>7997935+15000+150000+475000+1200000+150000+50000</f>
        <v>10037935</v>
      </c>
      <c r="G22" s="154">
        <f>3000000+296000+350000</f>
        <v>3646000</v>
      </c>
      <c r="H22" s="156">
        <f t="shared" si="0"/>
        <v>13683935</v>
      </c>
    </row>
    <row r="23" spans="2:8" ht="15" x14ac:dyDescent="0.2">
      <c r="B23" s="192">
        <v>7310</v>
      </c>
      <c r="C23" s="191" t="s">
        <v>156</v>
      </c>
      <c r="D23" s="109" t="s">
        <v>157</v>
      </c>
      <c r="E23" s="260"/>
      <c r="F23" s="154"/>
      <c r="G23" s="154">
        <v>2910000</v>
      </c>
      <c r="H23" s="156">
        <f t="shared" si="0"/>
        <v>2910000</v>
      </c>
    </row>
    <row r="24" spans="2:8" ht="26.45" customHeight="1" x14ac:dyDescent="0.2">
      <c r="B24" s="192">
        <v>7330</v>
      </c>
      <c r="C24" s="191" t="s">
        <v>156</v>
      </c>
      <c r="D24" s="109" t="s">
        <v>168</v>
      </c>
      <c r="E24" s="260"/>
      <c r="F24" s="154"/>
      <c r="G24" s="154">
        <v>1500000</v>
      </c>
      <c r="H24" s="156">
        <f t="shared" si="0"/>
        <v>1500000</v>
      </c>
    </row>
    <row r="25" spans="2:8" ht="26.45" customHeight="1" x14ac:dyDescent="0.2">
      <c r="B25" s="192">
        <v>7370</v>
      </c>
      <c r="C25" s="191" t="s">
        <v>49</v>
      </c>
      <c r="D25" s="109" t="s">
        <v>155</v>
      </c>
      <c r="E25" s="260"/>
      <c r="F25" s="154">
        <f>200000</f>
        <v>200000</v>
      </c>
      <c r="G25" s="154">
        <v>700000</v>
      </c>
      <c r="H25" s="156">
        <f t="shared" si="0"/>
        <v>900000</v>
      </c>
    </row>
    <row r="26" spans="2:8" ht="15" x14ac:dyDescent="0.2">
      <c r="B26" s="192">
        <v>7670</v>
      </c>
      <c r="C26" s="191" t="s">
        <v>49</v>
      </c>
      <c r="D26" s="109" t="s">
        <v>110</v>
      </c>
      <c r="E26" s="260"/>
      <c r="F26" s="154"/>
      <c r="G26" s="154">
        <f>3050000-1500000+1000000</f>
        <v>2550000</v>
      </c>
      <c r="H26" s="156">
        <f t="shared" si="0"/>
        <v>2550000</v>
      </c>
    </row>
    <row r="27" spans="2:8" ht="15" x14ac:dyDescent="0.2">
      <c r="B27" s="192">
        <v>7693</v>
      </c>
      <c r="C27" s="191" t="s">
        <v>49</v>
      </c>
      <c r="D27" s="109" t="s">
        <v>161</v>
      </c>
      <c r="E27" s="261"/>
      <c r="F27" s="196"/>
      <c r="G27" s="154"/>
      <c r="H27" s="156">
        <f t="shared" si="0"/>
        <v>0</v>
      </c>
    </row>
    <row r="28" spans="2:8" ht="45" customHeight="1" x14ac:dyDescent="0.2">
      <c r="B28" s="192">
        <v>6011</v>
      </c>
      <c r="C28" s="191" t="s">
        <v>109</v>
      </c>
      <c r="D28" s="109" t="s">
        <v>154</v>
      </c>
      <c r="E28" s="194" t="s">
        <v>187</v>
      </c>
      <c r="F28" s="154"/>
      <c r="G28" s="154">
        <f>300000+693347</f>
        <v>993347</v>
      </c>
      <c r="H28" s="156">
        <f t="shared" si="0"/>
        <v>993347</v>
      </c>
    </row>
    <row r="29" spans="2:8" ht="40.15" customHeight="1" x14ac:dyDescent="0.25">
      <c r="B29" s="177">
        <v>6016</v>
      </c>
      <c r="C29" s="140" t="s">
        <v>109</v>
      </c>
      <c r="D29" s="198" t="s">
        <v>204</v>
      </c>
      <c r="E29" s="212" t="s">
        <v>217</v>
      </c>
      <c r="F29" s="154"/>
      <c r="G29" s="154">
        <v>1500000</v>
      </c>
      <c r="H29" s="156">
        <f t="shared" si="0"/>
        <v>1500000</v>
      </c>
    </row>
    <row r="30" spans="2:8" ht="24.6" customHeight="1" x14ac:dyDescent="0.2">
      <c r="B30" s="192">
        <v>7650</v>
      </c>
      <c r="C30" s="191" t="s">
        <v>49</v>
      </c>
      <c r="D30" s="109" t="s">
        <v>153</v>
      </c>
      <c r="E30" s="195" t="s">
        <v>188</v>
      </c>
      <c r="F30" s="154"/>
      <c r="G30" s="154">
        <v>40000</v>
      </c>
      <c r="H30" s="156">
        <f t="shared" si="0"/>
        <v>40000</v>
      </c>
    </row>
    <row r="31" spans="2:8" ht="24.6" customHeight="1" x14ac:dyDescent="0.2">
      <c r="B31" s="177">
        <v>7130</v>
      </c>
      <c r="C31" s="205" t="s">
        <v>193</v>
      </c>
      <c r="D31" s="206" t="s">
        <v>194</v>
      </c>
      <c r="E31" s="270" t="s">
        <v>213</v>
      </c>
      <c r="F31" s="154">
        <v>120586</v>
      </c>
      <c r="G31" s="154"/>
      <c r="H31" s="156">
        <f t="shared" si="0"/>
        <v>120586</v>
      </c>
    </row>
    <row r="32" spans="2:8" ht="24.6" customHeight="1" x14ac:dyDescent="0.25">
      <c r="B32" s="177">
        <v>8311</v>
      </c>
      <c r="C32" s="140" t="s">
        <v>202</v>
      </c>
      <c r="D32" s="198" t="s">
        <v>203</v>
      </c>
      <c r="E32" s="272"/>
      <c r="F32" s="154"/>
      <c r="G32" s="154">
        <v>150000</v>
      </c>
      <c r="H32" s="156">
        <f t="shared" si="0"/>
        <v>150000</v>
      </c>
    </row>
    <row r="33" spans="2:16" ht="24.6" customHeight="1" x14ac:dyDescent="0.2">
      <c r="B33" s="177">
        <v>1010</v>
      </c>
      <c r="C33" s="140" t="s">
        <v>97</v>
      </c>
      <c r="D33" s="178" t="s">
        <v>144</v>
      </c>
      <c r="E33" s="270" t="s">
        <v>211</v>
      </c>
      <c r="F33" s="154"/>
      <c r="G33" s="154">
        <f>170000+23000</f>
        <v>193000</v>
      </c>
      <c r="H33" s="156">
        <f t="shared" si="0"/>
        <v>193000</v>
      </c>
    </row>
    <row r="34" spans="2:16" ht="24.6" customHeight="1" x14ac:dyDescent="0.2">
      <c r="B34" s="177">
        <v>6030</v>
      </c>
      <c r="C34" s="140" t="s">
        <v>109</v>
      </c>
      <c r="D34" s="180" t="s">
        <v>150</v>
      </c>
      <c r="E34" s="271"/>
      <c r="F34" s="154">
        <f>50000</f>
        <v>50000</v>
      </c>
      <c r="G34" s="154">
        <f>300000</f>
        <v>300000</v>
      </c>
      <c r="H34" s="156">
        <f t="shared" si="0"/>
        <v>350000</v>
      </c>
    </row>
    <row r="35" spans="2:16" ht="24.6" customHeight="1" x14ac:dyDescent="0.2">
      <c r="B35" s="177">
        <v>7130</v>
      </c>
      <c r="C35" s="205" t="s">
        <v>193</v>
      </c>
      <c r="D35" s="206" t="s">
        <v>194</v>
      </c>
      <c r="E35" s="271"/>
      <c r="F35" s="154">
        <v>25000</v>
      </c>
      <c r="G35" s="154"/>
      <c r="H35" s="156">
        <f t="shared" si="0"/>
        <v>25000</v>
      </c>
    </row>
    <row r="36" spans="2:16" ht="36" customHeight="1" x14ac:dyDescent="0.25">
      <c r="B36" s="177">
        <v>7350</v>
      </c>
      <c r="C36" s="140" t="s">
        <v>156</v>
      </c>
      <c r="D36" s="198" t="s">
        <v>195</v>
      </c>
      <c r="E36" s="272"/>
      <c r="F36" s="154">
        <f>6000+6000</f>
        <v>12000</v>
      </c>
      <c r="G36" s="154"/>
      <c r="H36" s="156">
        <f t="shared" si="0"/>
        <v>12000</v>
      </c>
    </row>
    <row r="37" spans="2:16" ht="49.9" customHeight="1" x14ac:dyDescent="0.2">
      <c r="B37" s="192">
        <v>7693</v>
      </c>
      <c r="C37" s="215" t="s">
        <v>49</v>
      </c>
      <c r="D37" s="109" t="s">
        <v>161</v>
      </c>
      <c r="E37" s="265" t="s">
        <v>214</v>
      </c>
      <c r="F37" s="154">
        <v>50000</v>
      </c>
      <c r="G37" s="154"/>
      <c r="H37" s="156">
        <f t="shared" si="0"/>
        <v>50000</v>
      </c>
    </row>
    <row r="38" spans="2:16" ht="32.450000000000003" customHeight="1" x14ac:dyDescent="0.2">
      <c r="B38" s="177">
        <v>9800</v>
      </c>
      <c r="C38" s="216" t="s">
        <v>111</v>
      </c>
      <c r="D38" s="219" t="s">
        <v>200</v>
      </c>
      <c r="E38" s="266"/>
      <c r="F38" s="154">
        <v>200000</v>
      </c>
      <c r="G38" s="154"/>
      <c r="H38" s="156">
        <f t="shared" si="0"/>
        <v>200000</v>
      </c>
    </row>
    <row r="39" spans="2:16" ht="32.450000000000003" customHeight="1" x14ac:dyDescent="0.2">
      <c r="B39" s="177">
        <v>9800</v>
      </c>
      <c r="C39" s="216" t="s">
        <v>111</v>
      </c>
      <c r="D39" s="219" t="s">
        <v>200</v>
      </c>
      <c r="E39" s="217" t="s">
        <v>215</v>
      </c>
      <c r="F39" s="154"/>
      <c r="G39" s="154">
        <v>95000</v>
      </c>
      <c r="H39" s="156">
        <f t="shared" si="0"/>
        <v>95000</v>
      </c>
    </row>
    <row r="40" spans="2:16" ht="32.450000000000003" customHeight="1" x14ac:dyDescent="0.2">
      <c r="B40" s="177">
        <v>9800</v>
      </c>
      <c r="C40" s="216" t="s">
        <v>111</v>
      </c>
      <c r="D40" s="219" t="s">
        <v>200</v>
      </c>
      <c r="E40" s="214" t="s">
        <v>219</v>
      </c>
      <c r="F40" s="154">
        <v>450000</v>
      </c>
      <c r="G40" s="154"/>
      <c r="H40" s="156">
        <f t="shared" si="0"/>
        <v>450000</v>
      </c>
    </row>
    <row r="41" spans="2:16" ht="40.9" customHeight="1" x14ac:dyDescent="0.2">
      <c r="B41" s="192">
        <v>8330</v>
      </c>
      <c r="C41" s="215" t="s">
        <v>159</v>
      </c>
      <c r="D41" s="109" t="s">
        <v>176</v>
      </c>
      <c r="E41" s="218" t="s">
        <v>216</v>
      </c>
      <c r="F41" s="135"/>
      <c r="G41" s="135">
        <f>156000+105820</f>
        <v>261820</v>
      </c>
      <c r="H41" s="156">
        <f t="shared" si="0"/>
        <v>261820</v>
      </c>
    </row>
    <row r="42" spans="2:16" ht="18.600000000000001" customHeight="1" x14ac:dyDescent="0.2">
      <c r="B42" s="76"/>
      <c r="C42" s="82"/>
      <c r="D42" s="73" t="s">
        <v>42</v>
      </c>
      <c r="E42" s="141"/>
      <c r="F42" s="143">
        <f>SUM(F8:F41)</f>
        <v>18219798</v>
      </c>
      <c r="G42" s="143">
        <f>SUM(G8:G41)</f>
        <v>24535543</v>
      </c>
      <c r="H42" s="143">
        <f>SUM(H8:H41)</f>
        <v>42755341</v>
      </c>
    </row>
    <row r="43" spans="2:16" x14ac:dyDescent="0.2">
      <c r="F43" s="83"/>
      <c r="G43" s="168"/>
      <c r="H43" s="83"/>
    </row>
    <row r="44" spans="2:16" ht="23.25" customHeight="1" x14ac:dyDescent="0.2">
      <c r="B44" s="256" t="s">
        <v>123</v>
      </c>
      <c r="C44" s="256"/>
      <c r="D44" s="256"/>
      <c r="E44" s="256"/>
      <c r="F44" s="256"/>
      <c r="G44" s="256"/>
      <c r="H44" s="256"/>
    </row>
    <row r="45" spans="2:16" ht="20.25" customHeight="1" x14ac:dyDescent="0.2">
      <c r="B45" s="255"/>
      <c r="C45" s="255"/>
      <c r="D45" s="255"/>
      <c r="E45" s="255"/>
      <c r="F45" s="255"/>
      <c r="G45" s="255"/>
      <c r="H45" s="255"/>
      <c r="I45" s="96"/>
      <c r="J45" s="96"/>
      <c r="K45" s="96"/>
      <c r="L45" s="96"/>
      <c r="M45" s="96"/>
      <c r="N45" s="96"/>
      <c r="O45" s="96"/>
      <c r="P45" s="96"/>
    </row>
    <row r="46" spans="2:16" ht="20.25" customHeight="1" x14ac:dyDescent="0.2"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</row>
    <row r="47" spans="2:16" ht="30.75" customHeight="1" x14ac:dyDescent="0.2">
      <c r="B47" s="255"/>
      <c r="C47" s="255"/>
      <c r="D47" s="255"/>
      <c r="E47" s="255"/>
      <c r="F47" s="255"/>
      <c r="G47" s="255"/>
      <c r="H47" s="255"/>
      <c r="I47" s="96"/>
      <c r="J47" s="96"/>
      <c r="K47" s="96"/>
      <c r="L47" s="96"/>
      <c r="M47" s="96"/>
      <c r="N47" s="96"/>
      <c r="O47" s="96"/>
      <c r="P47" s="96"/>
    </row>
    <row r="48" spans="2:16" ht="21" customHeight="1" x14ac:dyDescent="0.2"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</row>
  </sheetData>
  <mergeCells count="14">
    <mergeCell ref="E37:E38"/>
    <mergeCell ref="E8:E10"/>
    <mergeCell ref="E33:E36"/>
    <mergeCell ref="B48:P48"/>
    <mergeCell ref="B44:H44"/>
    <mergeCell ref="B45:H45"/>
    <mergeCell ref="B47:H47"/>
    <mergeCell ref="B46:P46"/>
    <mergeCell ref="E31:E32"/>
    <mergeCell ref="B1:H1"/>
    <mergeCell ref="F2:H2"/>
    <mergeCell ref="B3:H3"/>
    <mergeCell ref="E17:E27"/>
    <mergeCell ref="E13:E15"/>
  </mergeCells>
  <phoneticPr fontId="25" type="noConversion"/>
  <pageMargins left="0.70866141732283472" right="0.51181102362204722" top="0.74803149606299213" bottom="0.39370078740157483" header="0.35433070866141736" footer="0.35433070866141736"/>
  <pageSetup paperSize="9" scale="75" fitToHeight="32" orientation="landscape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DBFF73-2907-4135-9B8F-E5D2B5493A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дод.1</vt:lpstr>
      <vt:lpstr>дод.2 </vt:lpstr>
      <vt:lpstr>дод.3</vt:lpstr>
      <vt:lpstr>дод.4</vt:lpstr>
      <vt:lpstr>дод.5</vt:lpstr>
      <vt:lpstr>дод.6</vt:lpstr>
      <vt:lpstr>дод.1!Заголовки_для_печати</vt:lpstr>
      <vt:lpstr>'дод.2 '!Заголовки_для_печати</vt:lpstr>
      <vt:lpstr>дод.3!Заголовки_для_печати</vt:lpstr>
      <vt:lpstr>дод.5!Заголовки_для_печати</vt:lpstr>
      <vt:lpstr>дод.1!Область_печати</vt:lpstr>
      <vt:lpstr>'дод.2 '!Область_печати</vt:lpstr>
      <vt:lpstr>дод.4!Область_печати</vt:lpstr>
      <vt:lpstr>дод.5!Область_печати</vt:lpstr>
      <vt:lpstr>дод.6!Область_печати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Виталий</cp:lastModifiedBy>
  <cp:lastPrinted>2018-11-22T14:54:19Z</cp:lastPrinted>
  <dcterms:created xsi:type="dcterms:W3CDTF">2014-01-17T10:52:16Z</dcterms:created>
  <dcterms:modified xsi:type="dcterms:W3CDTF">2018-11-27T13:27:21Z</dcterms:modified>
</cp:coreProperties>
</file>