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на сайт\15.12.2020\01.12.2020 бюджет\"/>
    </mc:Choice>
  </mc:AlternateContent>
  <bookViews>
    <workbookView xWindow="0" yWindow="765" windowWidth="15480" windowHeight="9435" activeTab="5"/>
  </bookViews>
  <sheets>
    <sheet name="дод.1" sheetId="24" r:id="rId1"/>
    <sheet name="дод.2  " sheetId="20" r:id="rId2"/>
    <sheet name="дод.3" sheetId="19" r:id="rId3"/>
    <sheet name="дод.4" sheetId="25" r:id="rId4"/>
    <sheet name="дод.5" sheetId="23" r:id="rId5"/>
    <sheet name="дод. 6" sheetId="8" r:id="rId6"/>
  </sheets>
  <externalReferences>
    <externalReference r:id="rId7"/>
    <externalReference r:id="rId8"/>
    <externalReference r:id="rId9"/>
  </externalReferences>
  <definedNames>
    <definedName name="_xlnm.Print_Titles" localSheetId="5">'дод. 6'!$10:$11</definedName>
    <definedName name="_xlnm.Print_Titles" localSheetId="0">дод.1!$A:$E,дод.1!$10:$11</definedName>
    <definedName name="_xlnm.Print_Titles" localSheetId="1">'дод.2  '!$10:$10</definedName>
    <definedName name="_xlnm.Print_Titles" localSheetId="2">дод.3!$10:$13</definedName>
    <definedName name="_xlnm.Print_Titles" localSheetId="3">дод.4!$10:$16</definedName>
    <definedName name="_xlnm.Print_Titles" localSheetId="4">дод.5!$10:$11</definedName>
    <definedName name="_xlnm.Print_Area" localSheetId="5">'дод. 6'!$A$1:$J$45</definedName>
    <definedName name="_xlnm.Print_Area" localSheetId="0">дод.1!$A$1:$F$74</definedName>
    <definedName name="_xlnm.Print_Area" localSheetId="1">'дод.2  '!$A$1:$F$25</definedName>
    <definedName name="_xlnm.Print_Area" localSheetId="2">дод.3!$A$1:$P$57</definedName>
    <definedName name="_xlnm.Print_Area" localSheetId="3">дод.4!$D$1:$AA$21</definedName>
  </definedNames>
  <calcPr calcId="162913" fullCalcOnLoad="1"/>
</workbook>
</file>

<file path=xl/calcChain.xml><?xml version="1.0" encoding="utf-8"?>
<calcChain xmlns="http://schemas.openxmlformats.org/spreadsheetml/2006/main">
  <c r="J34" i="8" l="1"/>
  <c r="I34" i="8"/>
  <c r="H26" i="8"/>
  <c r="H18" i="8"/>
  <c r="H15" i="8"/>
  <c r="H33" i="8"/>
  <c r="H13" i="8"/>
  <c r="H16" i="8"/>
  <c r="H42" i="8" s="1"/>
  <c r="I33" i="8"/>
  <c r="AA19" i="25"/>
  <c r="AA20" i="25" s="1"/>
  <c r="M18" i="25"/>
  <c r="Q19" i="25"/>
  <c r="M20" i="25"/>
  <c r="Q20" i="25"/>
  <c r="R20" i="25"/>
  <c r="S20" i="25"/>
  <c r="T20" i="25"/>
  <c r="V20" i="25"/>
  <c r="W20" i="25"/>
  <c r="X20" i="25"/>
  <c r="Y20" i="25"/>
  <c r="Z20" i="25"/>
  <c r="F52" i="19"/>
  <c r="F51" i="19" s="1"/>
  <c r="F24" i="19"/>
  <c r="O41" i="19"/>
  <c r="J41" i="19" s="1"/>
  <c r="K41" i="19"/>
  <c r="L37" i="19"/>
  <c r="F37" i="19"/>
  <c r="K35" i="19"/>
  <c r="F35" i="19"/>
  <c r="F30" i="19"/>
  <c r="F26" i="19"/>
  <c r="D14" i="20"/>
  <c r="D16" i="20"/>
  <c r="F16" i="20"/>
  <c r="E16" i="20"/>
  <c r="E14" i="20"/>
  <c r="C19" i="24"/>
  <c r="D18" i="24"/>
  <c r="D34" i="24"/>
  <c r="E13" i="24"/>
  <c r="F13" i="24"/>
  <c r="C15" i="24"/>
  <c r="D15" i="24"/>
  <c r="D14" i="24" s="1"/>
  <c r="D13" i="24" s="1"/>
  <c r="C17" i="24"/>
  <c r="D17" i="24"/>
  <c r="D16" i="24" s="1"/>
  <c r="C16" i="24" s="1"/>
  <c r="C18" i="24"/>
  <c r="E18" i="24"/>
  <c r="F18" i="24"/>
  <c r="C20" i="24"/>
  <c r="C21" i="24"/>
  <c r="D24" i="24"/>
  <c r="D25" i="24"/>
  <c r="C25" i="24" s="1"/>
  <c r="D26" i="24"/>
  <c r="C26" i="24" s="1"/>
  <c r="D27" i="24"/>
  <c r="C27" i="24" s="1"/>
  <c r="D28" i="24"/>
  <c r="C28" i="24" s="1"/>
  <c r="D29" i="24"/>
  <c r="C29" i="24" s="1"/>
  <c r="D30" i="24"/>
  <c r="C30" i="24" s="1"/>
  <c r="D31" i="24"/>
  <c r="C31" i="24" s="1"/>
  <c r="C32" i="24"/>
  <c r="C33" i="24"/>
  <c r="E34" i="24"/>
  <c r="F34" i="24"/>
  <c r="C35" i="24"/>
  <c r="D35" i="24"/>
  <c r="C36" i="24"/>
  <c r="D36" i="24"/>
  <c r="C37" i="24"/>
  <c r="D38" i="24"/>
  <c r="F38" i="24"/>
  <c r="E39" i="24"/>
  <c r="E40" i="24"/>
  <c r="C40" i="24" s="1"/>
  <c r="E41" i="24"/>
  <c r="C41" i="24" s="1"/>
  <c r="D45" i="24"/>
  <c r="D43" i="24"/>
  <c r="D49" i="24"/>
  <c r="D53" i="24"/>
  <c r="C53" i="24" s="1"/>
  <c r="D56" i="24"/>
  <c r="C44" i="24"/>
  <c r="E45" i="24"/>
  <c r="C45" i="24" s="1"/>
  <c r="F45" i="24"/>
  <c r="F43" i="24" s="1"/>
  <c r="F42" i="24" s="1"/>
  <c r="C46" i="24"/>
  <c r="C47" i="24"/>
  <c r="C49" i="24"/>
  <c r="C50" i="24"/>
  <c r="D51" i="24"/>
  <c r="D52" i="24"/>
  <c r="C52" i="24" s="1"/>
  <c r="C54" i="24"/>
  <c r="C55" i="24"/>
  <c r="C56" i="24"/>
  <c r="D58" i="24"/>
  <c r="F58" i="24"/>
  <c r="E60" i="24"/>
  <c r="C60" i="24" s="1"/>
  <c r="C61" i="24"/>
  <c r="D64" i="24"/>
  <c r="D62" i="24" s="1"/>
  <c r="E64" i="24"/>
  <c r="F64" i="24"/>
  <c r="F63" i="24" s="1"/>
  <c r="C65" i="24"/>
  <c r="C64" i="24" s="1"/>
  <c r="F68" i="24"/>
  <c r="F67" i="24" s="1"/>
  <c r="D69" i="24"/>
  <c r="C69" i="24" s="1"/>
  <c r="E69" i="24"/>
  <c r="E68" i="24" s="1"/>
  <c r="E67" i="24" s="1"/>
  <c r="F69" i="24"/>
  <c r="C70" i="24"/>
  <c r="C71" i="24"/>
  <c r="D71" i="24"/>
  <c r="J28" i="8"/>
  <c r="I28" i="8"/>
  <c r="G13" i="23"/>
  <c r="I13" i="23"/>
  <c r="I16" i="23"/>
  <c r="I15" i="23"/>
  <c r="J27" i="8"/>
  <c r="I27" i="8"/>
  <c r="G31" i="8"/>
  <c r="J26" i="8"/>
  <c r="I26" i="8"/>
  <c r="H29" i="8"/>
  <c r="O35" i="19"/>
  <c r="O39" i="19"/>
  <c r="K39" i="19"/>
  <c r="F42" i="19"/>
  <c r="E35" i="19"/>
  <c r="F34" i="19"/>
  <c r="E34" i="19"/>
  <c r="E33" i="19" s="1"/>
  <c r="O33" i="19"/>
  <c r="E42" i="19"/>
  <c r="P42" i="19"/>
  <c r="J17" i="19"/>
  <c r="J16" i="19" s="1"/>
  <c r="L20" i="19"/>
  <c r="L19" i="19"/>
  <c r="F23" i="19"/>
  <c r="E23" i="19"/>
  <c r="E25" i="19"/>
  <c r="E26" i="19"/>
  <c r="E24" i="19"/>
  <c r="E22" i="19"/>
  <c r="F29" i="19"/>
  <c r="E29" i="19" s="1"/>
  <c r="E30" i="19"/>
  <c r="L28" i="19"/>
  <c r="J30" i="19"/>
  <c r="F32" i="19"/>
  <c r="E32" i="19"/>
  <c r="E31" i="19" s="1"/>
  <c r="L50" i="19"/>
  <c r="J50" i="19"/>
  <c r="J49" i="19" s="1"/>
  <c r="E37" i="19"/>
  <c r="E36" i="19"/>
  <c r="E52" i="19"/>
  <c r="E51" i="19" s="1"/>
  <c r="O17" i="19"/>
  <c r="O16" i="19" s="1"/>
  <c r="L49" i="19"/>
  <c r="H29" i="19"/>
  <c r="H27" i="19" s="1"/>
  <c r="H32" i="19"/>
  <c r="H31" i="19" s="1"/>
  <c r="G17" i="19"/>
  <c r="G16" i="19" s="1"/>
  <c r="G22" i="19"/>
  <c r="G28" i="19"/>
  <c r="G29" i="19"/>
  <c r="G32" i="19"/>
  <c r="G31" i="19" s="1"/>
  <c r="F33" i="19"/>
  <c r="F38" i="19"/>
  <c r="F22" i="19"/>
  <c r="F27" i="19"/>
  <c r="F31" i="19"/>
  <c r="F36" i="19"/>
  <c r="F47" i="19"/>
  <c r="E48" i="19"/>
  <c r="E47" i="19" s="1"/>
  <c r="P47" i="19" s="1"/>
  <c r="J22" i="8"/>
  <c r="I22" i="8"/>
  <c r="I25" i="8"/>
  <c r="G25" i="8" s="1"/>
  <c r="O34" i="19"/>
  <c r="K34" i="19"/>
  <c r="K33" i="19" s="1"/>
  <c r="O52" i="19"/>
  <c r="K52" i="19"/>
  <c r="O20" i="19"/>
  <c r="K20" i="19"/>
  <c r="K19" i="19" s="1"/>
  <c r="D13" i="20"/>
  <c r="D12" i="20"/>
  <c r="C12" i="20" s="1"/>
  <c r="E13" i="20"/>
  <c r="E12" i="20"/>
  <c r="E23" i="20" s="1"/>
  <c r="C23" i="20" s="1"/>
  <c r="F13" i="20"/>
  <c r="F12" i="20" s="1"/>
  <c r="C13" i="20"/>
  <c r="C14" i="20"/>
  <c r="C15" i="20"/>
  <c r="E17" i="20"/>
  <c r="E18" i="20"/>
  <c r="E19" i="20"/>
  <c r="D20" i="20"/>
  <c r="E20" i="20"/>
  <c r="C20" i="20" s="1"/>
  <c r="F20" i="20"/>
  <c r="D21" i="20"/>
  <c r="C21" i="20" s="1"/>
  <c r="D22" i="20"/>
  <c r="E22" i="20"/>
  <c r="F22" i="20"/>
  <c r="D23" i="20"/>
  <c r="G29" i="8"/>
  <c r="J24" i="8"/>
  <c r="I24" i="8"/>
  <c r="G24" i="8" s="1"/>
  <c r="O28" i="19"/>
  <c r="O27" i="19" s="1"/>
  <c r="K28" i="19"/>
  <c r="K27" i="19" s="1"/>
  <c r="G28" i="8"/>
  <c r="J32" i="8"/>
  <c r="I32" i="8"/>
  <c r="G32" i="8" s="1"/>
  <c r="H14" i="8"/>
  <c r="F44" i="19"/>
  <c r="E44" i="19" s="1"/>
  <c r="G36" i="8"/>
  <c r="H35" i="8"/>
  <c r="F46" i="19"/>
  <c r="J23" i="8"/>
  <c r="I23" i="8"/>
  <c r="H38" i="8"/>
  <c r="G38" i="8" s="1"/>
  <c r="O40" i="19"/>
  <c r="O38" i="19" s="1"/>
  <c r="K40" i="19"/>
  <c r="E19" i="19"/>
  <c r="E17" i="19"/>
  <c r="P17" i="19" s="1"/>
  <c r="E28" i="19"/>
  <c r="E27" i="19" s="1"/>
  <c r="E46" i="19"/>
  <c r="E45" i="19"/>
  <c r="P45" i="19" s="1"/>
  <c r="F19" i="19"/>
  <c r="F16" i="19"/>
  <c r="F45" i="19"/>
  <c r="F43" i="19"/>
  <c r="G19" i="19"/>
  <c r="O19" i="19"/>
  <c r="J40" i="19"/>
  <c r="J52" i="19"/>
  <c r="J51" i="19"/>
  <c r="P51" i="19" s="1"/>
  <c r="K51" i="19"/>
  <c r="O51" i="19"/>
  <c r="P40" i="19"/>
  <c r="H16" i="19"/>
  <c r="I16" i="19"/>
  <c r="I54" i="19" s="1"/>
  <c r="K16" i="19"/>
  <c r="L16" i="19"/>
  <c r="M16" i="19"/>
  <c r="M54" i="19" s="1"/>
  <c r="N16" i="19"/>
  <c r="L17" i="19"/>
  <c r="E18" i="19"/>
  <c r="P18" i="19" s="1"/>
  <c r="H19" i="19"/>
  <c r="J20" i="19"/>
  <c r="P20" i="19"/>
  <c r="P21" i="19"/>
  <c r="H22" i="19"/>
  <c r="I22" i="19"/>
  <c r="K22" i="19"/>
  <c r="M22" i="19"/>
  <c r="N22" i="19"/>
  <c r="O22" i="19"/>
  <c r="P23" i="19"/>
  <c r="P24" i="19"/>
  <c r="P25" i="19"/>
  <c r="L26" i="19"/>
  <c r="J26" i="19" s="1"/>
  <c r="J22" i="19" s="1"/>
  <c r="M27" i="19"/>
  <c r="N27" i="19"/>
  <c r="P29" i="19"/>
  <c r="P30" i="19"/>
  <c r="K31" i="19"/>
  <c r="M31" i="19"/>
  <c r="N31" i="19"/>
  <c r="O31" i="19"/>
  <c r="L32" i="19"/>
  <c r="L31" i="19" s="1"/>
  <c r="G33" i="19"/>
  <c r="H33" i="19"/>
  <c r="M33" i="19"/>
  <c r="N33" i="19"/>
  <c r="L34" i="19"/>
  <c r="J34" i="19" s="1"/>
  <c r="J35" i="19"/>
  <c r="L35" i="19"/>
  <c r="P35" i="19"/>
  <c r="G36" i="19"/>
  <c r="H36" i="19"/>
  <c r="I36" i="19"/>
  <c r="K36" i="19"/>
  <c r="M36" i="19"/>
  <c r="N36" i="19"/>
  <c r="O36" i="19"/>
  <c r="G38" i="19"/>
  <c r="H38" i="19"/>
  <c r="M38" i="19"/>
  <c r="N38" i="19"/>
  <c r="E39" i="19"/>
  <c r="L39" i="19"/>
  <c r="J39" i="19" s="1"/>
  <c r="E41" i="19"/>
  <c r="P41" i="19" s="1"/>
  <c r="G43" i="19"/>
  <c r="H43" i="19"/>
  <c r="I43" i="19"/>
  <c r="K43" i="19"/>
  <c r="L43" i="19"/>
  <c r="M43" i="19"/>
  <c r="N43" i="19"/>
  <c r="O43" i="19"/>
  <c r="J44" i="19"/>
  <c r="J43" i="19" s="1"/>
  <c r="P46" i="19"/>
  <c r="F49" i="19"/>
  <c r="G49" i="19"/>
  <c r="H49" i="19"/>
  <c r="I49" i="19"/>
  <c r="K49" i="19"/>
  <c r="M49" i="19"/>
  <c r="N49" i="19"/>
  <c r="O49" i="19"/>
  <c r="E50" i="19"/>
  <c r="E49" i="19" s="1"/>
  <c r="G51" i="19"/>
  <c r="H51" i="19"/>
  <c r="L51" i="19"/>
  <c r="M51" i="19"/>
  <c r="N51" i="19"/>
  <c r="P52" i="19"/>
  <c r="E53" i="19"/>
  <c r="F53" i="19"/>
  <c r="J53" i="19"/>
  <c r="O53" i="19"/>
  <c r="P53" i="19"/>
  <c r="G40" i="8"/>
  <c r="J42" i="8"/>
  <c r="I39" i="8"/>
  <c r="I42" i="8"/>
  <c r="G34" i="8"/>
  <c r="G33" i="8"/>
  <c r="G39" i="8"/>
  <c r="G26" i="8"/>
  <c r="G18" i="8"/>
  <c r="G22" i="8"/>
  <c r="G23" i="8"/>
  <c r="G30" i="8"/>
  <c r="G14" i="8"/>
  <c r="G27" i="8"/>
  <c r="G35" i="8"/>
  <c r="G12" i="8"/>
  <c r="G13" i="8"/>
  <c r="G15" i="8"/>
  <c r="G17" i="8"/>
  <c r="G19" i="8"/>
  <c r="G20" i="8"/>
  <c r="G21" i="8"/>
  <c r="G37" i="8"/>
  <c r="G41" i="8"/>
  <c r="P49" i="19" l="1"/>
  <c r="P34" i="19"/>
  <c r="O54" i="19"/>
  <c r="F14" i="19"/>
  <c r="F15" i="19" s="1"/>
  <c r="G27" i="19"/>
  <c r="G14" i="19" s="1"/>
  <c r="G15" i="19" s="1"/>
  <c r="P16" i="19"/>
  <c r="P44" i="19"/>
  <c r="E43" i="19"/>
  <c r="P43" i="19" s="1"/>
  <c r="F23" i="20"/>
  <c r="F17" i="20"/>
  <c r="F18" i="20"/>
  <c r="F19" i="20"/>
  <c r="P26" i="19"/>
  <c r="F62" i="24"/>
  <c r="E63" i="24"/>
  <c r="E38" i="19"/>
  <c r="L33" i="19"/>
  <c r="J33" i="19" s="1"/>
  <c r="P33" i="19" s="1"/>
  <c r="L22" i="19"/>
  <c r="N54" i="19"/>
  <c r="N14" i="19"/>
  <c r="N15" i="19" s="1"/>
  <c r="I14" i="19"/>
  <c r="I15" i="19" s="1"/>
  <c r="O14" i="19"/>
  <c r="O15" i="19" s="1"/>
  <c r="F54" i="19"/>
  <c r="P22" i="19"/>
  <c r="I12" i="23"/>
  <c r="I18" i="23"/>
  <c r="D48" i="24"/>
  <c r="C48" i="24" s="1"/>
  <c r="C51" i="24"/>
  <c r="D23" i="24"/>
  <c r="C24" i="24"/>
  <c r="C14" i="24"/>
  <c r="C34" i="24"/>
  <c r="G16" i="8"/>
  <c r="G42" i="8" s="1"/>
  <c r="P50" i="19"/>
  <c r="J38" i="19"/>
  <c r="L38" i="19"/>
  <c r="J32" i="19"/>
  <c r="H54" i="19"/>
  <c r="E16" i="19"/>
  <c r="D19" i="20"/>
  <c r="C19" i="20" s="1"/>
  <c r="D18" i="20"/>
  <c r="C18" i="20" s="1"/>
  <c r="D17" i="20"/>
  <c r="C17" i="20" s="1"/>
  <c r="P48" i="19"/>
  <c r="H14" i="19"/>
  <c r="H15" i="19" s="1"/>
  <c r="K14" i="19"/>
  <c r="K15" i="19" s="1"/>
  <c r="M14" i="19"/>
  <c r="M15" i="19" s="1"/>
  <c r="J28" i="19"/>
  <c r="L27" i="19"/>
  <c r="L14" i="19" s="1"/>
  <c r="L15" i="19" s="1"/>
  <c r="J19" i="19"/>
  <c r="P39" i="19"/>
  <c r="P38" i="19" s="1"/>
  <c r="K38" i="19"/>
  <c r="K54" i="19" s="1"/>
  <c r="D68" i="24"/>
  <c r="E59" i="24"/>
  <c r="E43" i="24"/>
  <c r="D42" i="24"/>
  <c r="C43" i="24"/>
  <c r="E38" i="24"/>
  <c r="E12" i="24" s="1"/>
  <c r="C39" i="24"/>
  <c r="C38" i="24"/>
  <c r="F12" i="24"/>
  <c r="F66" i="24" s="1"/>
  <c r="F72" i="24" s="1"/>
  <c r="C13" i="24"/>
  <c r="J37" i="19"/>
  <c r="L36" i="19"/>
  <c r="G54" i="19" l="1"/>
  <c r="L54" i="19"/>
  <c r="C68" i="24"/>
  <c r="D67" i="24"/>
  <c r="C67" i="24" s="1"/>
  <c r="J36" i="19"/>
  <c r="P36" i="19" s="1"/>
  <c r="P37" i="19"/>
  <c r="E58" i="24"/>
  <c r="C58" i="24" s="1"/>
  <c r="C59" i="24"/>
  <c r="P19" i="19"/>
  <c r="J27" i="19"/>
  <c r="P27" i="19" s="1"/>
  <c r="P28" i="19"/>
  <c r="E62" i="24"/>
  <c r="C63" i="24"/>
  <c r="C62" i="24" s="1"/>
  <c r="E54" i="19"/>
  <c r="E14" i="19"/>
  <c r="E15" i="19" s="1"/>
  <c r="J31" i="19"/>
  <c r="P31" i="19" s="1"/>
  <c r="P32" i="19"/>
  <c r="D22" i="24"/>
  <c r="C23" i="24"/>
  <c r="J54" i="19"/>
  <c r="P54" i="19" l="1"/>
  <c r="C22" i="24"/>
  <c r="D12" i="24"/>
  <c r="P14" i="19"/>
  <c r="P15" i="19" s="1"/>
  <c r="J14" i="19"/>
  <c r="J15" i="19" s="1"/>
  <c r="E42" i="24"/>
  <c r="C12" i="24" l="1"/>
  <c r="D66" i="24"/>
  <c r="E66" i="24"/>
  <c r="E72" i="24" s="1"/>
  <c r="C42" i="24"/>
  <c r="C66" i="24" l="1"/>
  <c r="D72" i="24"/>
  <c r="C72" i="24" s="1"/>
  <c r="G66" i="24"/>
</calcChain>
</file>

<file path=xl/sharedStrings.xml><?xml version="1.0" encoding="utf-8"?>
<sst xmlns="http://schemas.openxmlformats.org/spreadsheetml/2006/main" count="505" uniqueCount="306">
  <si>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</si>
  <si>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</si>
  <si>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</si>
  <si>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</si>
  <si>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</si>
  <si>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</si>
  <si>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</si>
  <si>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</si>
  <si>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</si>
  <si>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0490</t>
  </si>
  <si>
    <t>грн.</t>
  </si>
  <si>
    <t>0910</t>
  </si>
  <si>
    <t>Соціальний захист та соціальне забезпечення</t>
  </si>
  <si>
    <t>1090</t>
  </si>
  <si>
    <t>Культура і мистецтво</t>
  </si>
  <si>
    <t>0828</t>
  </si>
  <si>
    <t>Фізична культура і спорт</t>
  </si>
  <si>
    <t>0810</t>
  </si>
  <si>
    <t>Житлово-комунальне господарство</t>
  </si>
  <si>
    <t>0620</t>
  </si>
  <si>
    <t xml:space="preserve"> грн.</t>
  </si>
  <si>
    <t>Забезпечення діяльності місцевих центрів фізичного здоров'я населення  "Спорт для всіх" та проведення фізкультурно-масових заходів серед населення регіону</t>
  </si>
  <si>
    <t>1050</t>
  </si>
  <si>
    <t>Організація та проведення громадських робіт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</si>
  <si>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</si>
  <si>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 </t>
  </si>
  <si>
    <t>Надання дошкільної освіти</t>
  </si>
  <si>
    <t>1000</t>
  </si>
  <si>
    <t>Освіта</t>
  </si>
  <si>
    <t>0950</t>
  </si>
  <si>
    <t>Підвищення кваліфікації, перепідготовка кадрів закладами післядипломної  освіти</t>
  </si>
  <si>
    <t>0829</t>
  </si>
  <si>
    <t>Організація благоустрою населених пунктів</t>
  </si>
  <si>
    <t>Будівництво та регіональний розвиток</t>
  </si>
  <si>
    <t>Інші програми та заходи, пов'язані з економічною діяльністю</t>
  </si>
  <si>
    <t>Експлуатація та технічне обслуговування житлового фонду</t>
  </si>
  <si>
    <t>0443</t>
  </si>
  <si>
    <t>Будівництво об'єктів житлово-комунального господарства</t>
  </si>
  <si>
    <t xml:space="preserve">Охорона навколишнього природного середовища </t>
  </si>
  <si>
    <t>0540</t>
  </si>
  <si>
    <t>Інші заходи, пов'язані з економічною діяльністю</t>
  </si>
  <si>
    <t>Забезпечення діяльності палаців і будинків культури, клубів, центрів дозвілля та інших клубних закладів</t>
  </si>
  <si>
    <t>Будівництво інших обєктів соціальної та виробничої інфраструктури комунальної власності</t>
  </si>
  <si>
    <t>Інші субвенції з місцевого бюджету</t>
  </si>
  <si>
    <t xml:space="preserve">Інші  заходи у сфері соціального захисту і соціального забезпечення </t>
  </si>
  <si>
    <t>Забезпечення діяльності інших закладів в галузі культури і мистецтва</t>
  </si>
  <si>
    <t>Інші  заходи в галузі культури і мистецтва</t>
  </si>
  <si>
    <t>Сільське, лісове, рибне господарство та мисливство</t>
  </si>
  <si>
    <t>0421</t>
  </si>
  <si>
    <t>Здійснення заходів із землеустрою</t>
  </si>
  <si>
    <t>Усього</t>
  </si>
  <si>
    <t>у тому числі бюджет розвитку</t>
  </si>
  <si>
    <t>Найменування головного розпорядника коштів місцевого бюджету, відповідального виконавця, найменування  бюджетної програми згідно з Типовою програмною класифікацією видатків та кредитивуння місцевих бюджетів</t>
  </si>
  <si>
    <t>Інша діяльність  у сфері екології та охорони природних ресурсів</t>
  </si>
  <si>
    <t>Додаток 3</t>
  </si>
  <si>
    <t>0210000</t>
  </si>
  <si>
    <t>Військово-цивільна адміністрація м. Волноваха Волноваського району Донецької області</t>
  </si>
  <si>
    <t>0210150</t>
  </si>
  <si>
    <t>0211000</t>
  </si>
  <si>
    <t>0211010</t>
  </si>
  <si>
    <t>0211140</t>
  </si>
  <si>
    <t>0213000</t>
  </si>
  <si>
    <t>0213210</t>
  </si>
  <si>
    <t>0213242</t>
  </si>
  <si>
    <t>0214000</t>
  </si>
  <si>
    <t>0214060</t>
  </si>
  <si>
    <t>0214081</t>
  </si>
  <si>
    <t>0214082</t>
  </si>
  <si>
    <t>0215000</t>
  </si>
  <si>
    <t>0215061</t>
  </si>
  <si>
    <t>0216000</t>
  </si>
  <si>
    <t>0216011</t>
  </si>
  <si>
    <t>0216030</t>
  </si>
  <si>
    <t>0217300</t>
  </si>
  <si>
    <t>0217310</t>
  </si>
  <si>
    <t>0217330</t>
  </si>
  <si>
    <t>0213090</t>
  </si>
  <si>
    <t>1030</t>
  </si>
  <si>
    <t>0200000</t>
  </si>
  <si>
    <t>Видатки на поховання учасників бойових дій та осіб з інваліністю внаслідок  війни</t>
  </si>
  <si>
    <t>0218330</t>
  </si>
  <si>
    <t>0218300</t>
  </si>
  <si>
    <t>0217693</t>
  </si>
  <si>
    <t>0217600</t>
  </si>
  <si>
    <t xml:space="preserve">Керівник                                                                           військово-цивільної адміністрації                                                                                                                                                                                                                                </t>
  </si>
  <si>
    <t>до розпорядження</t>
  </si>
  <si>
    <t>Видатки на поховання учасників бойових дій та осіб з інвалідністю внаслідок  війни</t>
  </si>
  <si>
    <t xml:space="preserve">Усього </t>
  </si>
  <si>
    <t>Додаток 6</t>
  </si>
  <si>
    <t>адміністрації м. Волноваха</t>
  </si>
  <si>
    <t xml:space="preserve">керівника військово-цивільної </t>
  </si>
  <si>
    <t>Розподіл видатків  міського бюджету міста Волноваха на 2020 рік</t>
  </si>
  <si>
    <t>0213140</t>
  </si>
  <si>
    <t>1040</t>
  </si>
  <si>
    <t>0217130</t>
  </si>
  <si>
    <t>0217100</t>
  </si>
  <si>
    <r>
      <t>Розподіл витрат міського бюджету на реалізацію місцевих програм  у  2020 році</t>
    </r>
    <r>
      <rPr>
        <b/>
        <sz val="14"/>
        <rFont val="Times New Roman"/>
        <family val="1"/>
        <charset val="204"/>
      </rPr>
      <t xml:space="preserve">
</t>
    </r>
  </si>
  <si>
    <t>Оздоровлення та відпочинок дітей (крім заходів з оздоровлння дітей, що здійснюється за рахунок коштів на оздоровлення громадян, які постраджали в наслідок Черн. Катастрофи</t>
  </si>
  <si>
    <t xml:space="preserve">Програма соціального захисту  та соціального забезпечення населення м. Волноваха на 2020 рік </t>
  </si>
  <si>
    <t>Програма розвитку культури м. Волноваха на 2020 рік</t>
  </si>
  <si>
    <t xml:space="preserve">Программа розвитку фізичної культури та спорту в м. Волноваха на 2020 рік </t>
  </si>
  <si>
    <t>Програма розвитку житлово-комунального господарства м. Волноваха на 2020 рік</t>
  </si>
  <si>
    <t>Програма оздоровлення та відпочинку дітей військово-цивільної адміністрації м.Волноваха на 2020 рік</t>
  </si>
  <si>
    <t xml:space="preserve">Програма охорони навколишнього природного середовища м. Волноваха на 2020 рік </t>
  </si>
  <si>
    <t xml:space="preserve">Програма забезпечення мінімально достатнього рівня безпеки населення і території м. Волноваха  від  надзвичайних ситуацій техногенного та природного характеру на 2020 рік </t>
  </si>
  <si>
    <t>Програма планування та забудова територій м. Волноваха на 2020 рік</t>
  </si>
  <si>
    <t>Програма сприяння діяльності співвласників багатоквартирних будинків на території м. Волноваха на 2020 рік</t>
  </si>
  <si>
    <t xml:space="preserve">Програма з охорони та раціонального використання земель м. Волноваха на 2020 рік </t>
  </si>
  <si>
    <t>до проєкту розпорядження</t>
  </si>
  <si>
    <t>0180</t>
  </si>
  <si>
    <t>"Оздоровлення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</si>
  <si>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</si>
  <si>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</si>
  <si>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0219770</t>
  </si>
  <si>
    <t>Інша діяльність у сфері екології та охорони природних ресурсів</t>
  </si>
  <si>
    <t>Інші заходи, пов`язані з економічною діяльністю</t>
  </si>
  <si>
    <t>І.В. Лубінець</t>
  </si>
  <si>
    <t>Керівник військово-цивільної адміністрації                                                                     І.В.Лубінець</t>
  </si>
  <si>
    <t>(код бюджету)</t>
  </si>
  <si>
    <t>05304301000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</si>
  <si>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</si>
  <si>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</si>
  <si>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бюджету, 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</si>
  <si>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Код Функціональної класифікації видатків та кредитування бюджету</t>
  </si>
  <si>
    <t>Дата та номер документа, яким затверджено місцеву програму</t>
  </si>
  <si>
    <t>Найменування місцевої  програми</t>
  </si>
  <si>
    <t xml:space="preserve"> у тому чіислі бюджет розвитку</t>
  </si>
  <si>
    <t>№ 422 від 24.12.2019 року</t>
  </si>
  <si>
    <t>№ 416 від 24.12.2019 року</t>
  </si>
  <si>
    <t>0610</t>
  </si>
  <si>
    <t>0217321</t>
  </si>
  <si>
    <t>Будівництво освітніх установ та закладів</t>
  </si>
  <si>
    <t>Захист населення і територій від надзвичайних ситуацій техногенного та природного характеру</t>
  </si>
  <si>
    <t>0218100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</si>
  <si>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</si>
  <si>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</si>
  <si>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</si>
  <si>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</si>
  <si>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0219800</t>
  </si>
  <si>
    <t>Інша діяльність у сфері державного управління</t>
  </si>
  <si>
    <t>0210180</t>
  </si>
  <si>
    <t>0133</t>
  </si>
  <si>
    <t>0210100</t>
  </si>
  <si>
    <t>0100</t>
  </si>
  <si>
    <t>Державне управління</t>
  </si>
  <si>
    <t xml:space="preserve">Програми додаткової соціальної допомоги з міського бюджету сім’ям з дітьми при народженні дитини на 2020 рік </t>
  </si>
  <si>
    <t>Програми протиепідемічного захисту населення від коронавірусу  COVID-19</t>
  </si>
  <si>
    <t xml:space="preserve">Програма сприяння та допомоги Волноваському підрозділу Волновасько - Мангушського управління Головного управління ДПС у Донецькій області на 2020 рік </t>
  </si>
  <si>
    <t>№93  від 16.03.2020</t>
  </si>
  <si>
    <t>№94 від 16.03.2020</t>
  </si>
  <si>
    <t>«Правопорядок – 2020»</t>
  </si>
  <si>
    <t>№110 від 24.03.2020</t>
  </si>
  <si>
    <t>№92 від 16.03.2020 (із змінами, внесеними 24.03.2020 №109; 20.05.2020 №186)</t>
  </si>
  <si>
    <t>№ 415 від 24.12.2019 року( із змінами від 16.07.2020 №269)</t>
  </si>
  <si>
    <t>№ 427 від 24.12.2019 року(із змінами, внесеними 20.05.2020 №191)</t>
  </si>
  <si>
    <t>0217370</t>
  </si>
  <si>
    <t>Реалізація інших заходів щодо соціально-економічного розвитку територій</t>
  </si>
  <si>
    <t>Додаток 2</t>
  </si>
  <si>
    <t>Фінансування міського  бюджету міста Волноваха  на 2020 рік</t>
  </si>
  <si>
    <t>Код</t>
  </si>
  <si>
    <t>Найменування 
згідно з класифікацією фінансування бюджету</t>
  </si>
  <si>
    <t>в т.ч. бюджет розвитку</t>
  </si>
  <si>
    <t>Внутрішнє фінансування</t>
  </si>
  <si>
    <t>Фінансування за рахунок змін залишків коштів бюджета</t>
  </si>
  <si>
    <t>На початок періоду</t>
  </si>
  <si>
    <t>На кінець періоду</t>
  </si>
  <si>
    <t>Кошти, що передаються з загального фонду бюджету до бюджету розвитку (спеціальний фонд)</t>
  </si>
  <si>
    <t>-</t>
  </si>
  <si>
    <t>Всього фінансування бюджета за типом кредитора</t>
  </si>
  <si>
    <t>Фінансування за активними операціями</t>
  </si>
  <si>
    <t>Зміни обсягів бюджетних коштів</t>
  </si>
  <si>
    <t>Всього фінансування бюджета за типом боргового зобов'язання</t>
  </si>
  <si>
    <t xml:space="preserve">Керівник                                                  військово-цивільної адміністрації                                                          </t>
  </si>
  <si>
    <t>Громадський порядок та безпека</t>
  </si>
  <si>
    <t>0218200</t>
  </si>
  <si>
    <t>Інші заходи громадського порядку та безпеки</t>
  </si>
  <si>
    <t>0218230</t>
  </si>
  <si>
    <t>0380</t>
  </si>
  <si>
    <t>Додаток 5</t>
  </si>
  <si>
    <t>керівника військово-цивільної</t>
  </si>
  <si>
    <t>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</si>
  <si>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місцевих бюджетів</t>
  </si>
  <si>
    <t>Назва об’єкта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</si>
  <si>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</si>
  <si>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</si>
  <si>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</si>
  <si>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 гривень</t>
  </si>
  <si>
    <t>Рівень готовності обєкта на кінець бюджетного періоду,%</t>
  </si>
  <si>
    <t>Військово-цивільна адміністрація міста Волноваха Волноваського району Донецької області</t>
  </si>
  <si>
    <t>Будівництво об`єктів житлово-комунального господарства</t>
  </si>
  <si>
    <t>Реконструкція мережі вуличного освітлення</t>
  </si>
  <si>
    <t>Будівництво інших об`єктів комунальної власності</t>
  </si>
  <si>
    <t>Реконструкція тротуару по вулиці Менделєєва</t>
  </si>
  <si>
    <t>Розробка проектно-кошторисної документації по об’єкту: «Будівництво пішохідного тунелю під залізничними коліями в м. Волноваха»</t>
  </si>
  <si>
    <t xml:space="preserve">Керівник військово-цивільної адміністрації                                                                                                          </t>
  </si>
  <si>
    <t>Розробка проєктно-кошторисної документації по об’єкту: «Реконструкція парку по вул. Ювілейна в м. Волноваха Донецької області»</t>
  </si>
  <si>
    <t>Додаток 1</t>
  </si>
  <si>
    <t>Доходи міського бюджету міста Волноваха на 2020 рік</t>
  </si>
  <si>
    <t>(грн)</t>
  </si>
  <si>
    <t>Найменування згідно
 з Класифікацією доходів бюджету</t>
  </si>
  <si>
    <t>усього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</si>
  <si>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</si>
  <si>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</si>
  <si>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</si>
  <si>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</si>
  <si>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</si>
  <si>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</si>
  <si>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</si>
  <si>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Пальне</t>
  </si>
  <si>
    <t>Акцизний податок з реалізації суб'єктами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</si>
  <si>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</si>
  <si>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</si>
  <si>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</si>
  <si>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</si>
  <si>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</si>
  <si>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</si>
  <si>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</si>
  <si>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</si>
  <si>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</si>
  <si>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</si>
  <si>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</si>
  <si>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</si>
  <si>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</si>
  <si>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</si>
  <si>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 яких частка сільськогосподарського товаровиробництва за попередній податковий (звітний) рік  дорівнює або  перевищує 75  відсотків</t>
  </si>
  <si>
    <t>Інші податки та збори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</si>
  <si>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</si>
  <si>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 об'єктах, крім розміщення окремих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</si>
  <si>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</si>
  <si>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</si>
  <si>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комунальних унітарних підприємств та їх обєднань,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</si>
  <si>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</si>
  <si>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</si>
  <si>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та штрафні санкції за порушення  законодавства у сфері виробництва 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</si>
  <si>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</si>
  <si>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</si>
  <si>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</si>
  <si>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</si>
  <si>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</si>
  <si>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</si>
  <si>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</t>
  </si>
  <si>
    <t>Інші неподаткові надходження</t>
  </si>
  <si>
    <t>Інші надходження  </t>
  </si>
  <si>
    <t>Власні надходження бюджетних установ</t>
  </si>
  <si>
    <t>Надходження вiд плати за послуги, що надаються бюджетними установами згiдно iз законодавством</t>
  </si>
  <si>
    <t>Плата за послуги, що надаються бюджетними установами згiдно з їх основною дiяльнiстю</t>
  </si>
  <si>
    <t>Плата за оренду майна бюджетних установ</t>
  </si>
  <si>
    <t>Доходи від операцій з капіталом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</si>
  <si>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</si>
  <si>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</si>
  <si>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</si>
  <si>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Усього доходів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</si>
  <si>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</si>
  <si>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</si>
  <si>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</si>
  <si>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</si>
  <si>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</si>
  <si>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 xml:space="preserve">Керівник                                                 військово-цивільної адміністрації                                                         </t>
  </si>
  <si>
    <r>
      <t>Надходження від скидів забруднюючих речовин безпосередньо у водні об</t>
    </r>
    <r>
      <rPr>
        <sz val="9"/>
        <rFont val="Arial Cyr"/>
        <charset val="204"/>
      </rPr>
      <t>’</t>
    </r>
    <r>
      <rPr>
        <sz val="9"/>
        <rFont val="Times New Roman"/>
        <family val="1"/>
        <charset val="204"/>
      </rPr>
      <t>єкти</t>
    </r>
  </si>
  <si>
    <r>
      <t>Державне мито, пов</t>
    </r>
    <r>
      <rPr>
        <sz val="9"/>
        <rFont val="Arial Cyr"/>
        <charset val="204"/>
      </rPr>
      <t>‘</t>
    </r>
    <r>
      <rPr>
        <sz val="9"/>
        <rFont val="Times New Roman"/>
        <family val="1"/>
        <charset val="204"/>
      </rPr>
      <t>язане з видачею та оформленням закордонних паспортів (посвідок) та паспортів громадян України</t>
    </r>
  </si>
  <si>
    <t>Коригування проєктно-кошторисної документації по об’єкту: «Капітальний ремонт елементів благоустрою та озеленення скверу по вул.Центральна, 94-а в м.Волноваха, Донецької області»</t>
  </si>
  <si>
    <t>Додаток 4</t>
  </si>
  <si>
    <t>Міжбюджетні трансферти    міського  бюджету міста Волноваха   на 2020 рік</t>
  </si>
  <si>
    <t>O2</t>
  </si>
  <si>
    <t xml:space="preserve">Код </t>
  </si>
  <si>
    <t xml:space="preserve">Найменування  бюджету - одержувача/надавача міжбюджетного трансферту  </t>
  </si>
  <si>
    <t>Трансферти з інших місцевих бюджетів</t>
  </si>
  <si>
    <t>Трансферти іншим бюджетам</t>
  </si>
  <si>
    <t>Дотація на:</t>
  </si>
  <si>
    <t>субвенції</t>
  </si>
  <si>
    <t>дотація на:</t>
  </si>
  <si>
    <t>загального фонду на:</t>
  </si>
  <si>
    <t>спеціального фонду на:</t>
  </si>
  <si>
    <t>О3</t>
  </si>
  <si>
    <t>найменування трансферту</t>
  </si>
  <si>
    <t xml:space="preserve"> утримання дошкільних закладів освіти</t>
  </si>
  <si>
    <t>утримання  закладів культури</t>
  </si>
  <si>
    <t>надання державної підтримки особам з особливими освітніми потребами</t>
  </si>
  <si>
    <t>на утримання трудового архіву</t>
  </si>
  <si>
    <t>проведення відновлювальних робіт на третьому поверсі хірургічного відділення КНП «Волноваська лікарня планового лікування Волноваської районної ради»</t>
  </si>
  <si>
    <t>відшкодування вартості лікарських засобів КНП "Волноваський РЦПМСД Волноваської районної ради"</t>
  </si>
  <si>
    <t>придбання засобів індивідуального захисту, витратних матеріалів, дезінфікуючих та антисептичних матеріалів, медикаментів</t>
  </si>
  <si>
    <t>капітальний ремонт головного лікувального корпусу лікарні та поліклінічного відділення, розташованого за адресою: Донецька область, м. Волноваха, пров. Залізничний, 23</t>
  </si>
  <si>
    <t>будівництво стадіону по вул. Донецька, 1 в м.Волноваха Донецької області</t>
  </si>
  <si>
    <t xml:space="preserve">співфінансування будівництва амбулаторій загальної практики сімейної медицини у місті Волноваха по вул.Фіалковського, 1-в м.Волноваха, Донецької області та вул.Донецькій 250, м.Волноваха, Донецької області </t>
  </si>
  <si>
    <t>коригування ПКД відділення екстреної (невідкладної) медичної допомоги КНП «Волноваська ЦРЛ»</t>
  </si>
  <si>
    <t>придбання предметів довгострокового користування</t>
  </si>
  <si>
    <t xml:space="preserve">придбання апаратів штучної вентиляції легень </t>
  </si>
  <si>
    <t>код Класифікації доходів бюджету</t>
  </si>
  <si>
    <t>код Типової програмної класифікації видатків  та кредитування місцевого бюджету</t>
  </si>
  <si>
    <t>О4</t>
  </si>
  <si>
    <t>41053900</t>
  </si>
  <si>
    <t>41051200</t>
  </si>
  <si>
    <t>О5</t>
  </si>
  <si>
    <t>05304200000</t>
  </si>
  <si>
    <r>
      <t>Міський бюджет</t>
    </r>
    <r>
      <rPr>
        <sz val="12"/>
        <rFont val="Times New Roman"/>
        <family val="1"/>
        <charset val="204"/>
      </rPr>
      <t xml:space="preserve">                          міста Волноваха</t>
    </r>
  </si>
  <si>
    <r>
      <t>Районний бюджет</t>
    </r>
    <r>
      <rPr>
        <sz val="12"/>
        <rFont val="Times New Roman"/>
        <family val="1"/>
        <charset val="204"/>
      </rPr>
      <t xml:space="preserve">       Волноваського району Донецької області</t>
    </r>
  </si>
  <si>
    <t xml:space="preserve">проведення поточного ремонту нежитлової окремо розташованої одноповерхової будівлі неврологічного відділення, загальною площею 362,6 кв.м, яка знаходиться на території майнового комплексу КНП «Волноваська центральна районна лікарня», за адресою: провулок Матросова 5, м.Волноваха. </t>
  </si>
  <si>
    <t>від 01.12.2020 № 487</t>
  </si>
  <si>
    <t>№ 420 від 24.12.2019 року(із змінами, внесеними 16.07.2020 №272, 17.08.2020 №332; 01.12.2020 №479)</t>
  </si>
  <si>
    <t xml:space="preserve">№ 47 від 13.02.2020(із змінами, внесеними 0112.2020 №481) </t>
  </si>
  <si>
    <t>№ 423 від 24.12.2019 року(із змінами, внесеними 20.05.2020 №188; 16.07.2020 №270; 01.12.2020 №480)</t>
  </si>
  <si>
    <t>№421 від 24.12.2019(із змінами, внесеними 20.05.2020 №189; 16.07.2020 №271, 01.12.2020 №482)</t>
  </si>
  <si>
    <r>
      <t xml:space="preserve">№ 414 від 24.12.2019 року (із змінами, внесеними 16.03.2020 №91; 24.03.2020 №111; 20.05.2020 №190, 16.07.2020 №268, 17.08.2020 №334, </t>
    </r>
    <r>
      <rPr>
        <sz val="10"/>
        <rFont val="Times New Roman"/>
        <family val="1"/>
        <charset val="204"/>
      </rPr>
      <t>14.09.2020 №369; 02.10.2020 №403, 16.10.2020 №428; 01.12.2020 №485)</t>
    </r>
  </si>
  <si>
    <t>№ 419 від 24.12.2019 року(із змінами, внесеними 18.03.2020 №104; 16.07.2020 №275; 01.12.2020 №483)</t>
  </si>
  <si>
    <t>№ 418 від 24.12.2019 року(із змінами, внесеними 20.05.2020 №187; 16.07.2020 №274, 17.08.2020 №333; 15.10.2020 №426; 01.12.2020 №484)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</si>
</sst>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0" formatCode="#,##0.0"/>
  </numFmts>
  <fonts count="7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b/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sz val="16"/>
      <name val="Times New Roman Cyr"/>
      <charset val="204"/>
    </font>
    <font>
      <b/>
      <sz val="14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</font>
    <font>
      <b/>
      <sz val="11"/>
      <name val="Times New Roman Cyr"/>
      <family val="1"/>
      <charset val="204"/>
    </font>
    <font>
      <b/>
      <sz val="10"/>
      <name val="Times New Roman CYR"/>
      <charset val="204"/>
    </font>
    <font>
      <b/>
      <sz val="13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23" fillId="0" borderId="0"/>
    <xf numFmtId="0" fontId="54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7" fillId="7" borderId="1" applyNumberFormat="0" applyAlignment="0" applyProtection="0"/>
    <xf numFmtId="0" fontId="8" fillId="22" borderId="2" applyNumberFormat="0" applyAlignment="0" applyProtection="0"/>
    <xf numFmtId="0" fontId="16" fillId="22" borderId="1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0" borderId="0">
      <alignment vertical="top"/>
    </xf>
    <xf numFmtId="0" fontId="12" fillId="0" borderId="3" applyNumberFormat="0" applyFill="0" applyAlignment="0" applyProtection="0"/>
    <xf numFmtId="0" fontId="10" fillId="23" borderId="4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23" fillId="0" borderId="0"/>
    <xf numFmtId="0" fontId="6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4" fillId="10" borderId="5" applyNumberFormat="0" applyFont="0" applyAlignment="0" applyProtection="0"/>
    <xf numFmtId="0" fontId="19" fillId="0" borderId="6" applyNumberFormat="0" applyFill="0" applyAlignment="0" applyProtection="0"/>
    <xf numFmtId="0" fontId="22" fillId="0" borderId="0"/>
    <xf numFmtId="0" fontId="9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68" fillId="25" borderId="0" applyNumberFormat="0" applyBorder="0" applyAlignment="0" applyProtection="0"/>
    <xf numFmtId="0" fontId="68" fillId="31" borderId="0" applyNumberFormat="0" applyBorder="0" applyAlignment="0" applyProtection="0"/>
    <xf numFmtId="0" fontId="69" fillId="37" borderId="0" applyNumberFormat="0" applyBorder="0" applyAlignment="0" applyProtection="0"/>
    <xf numFmtId="0" fontId="68" fillId="26" borderId="0" applyNumberFormat="0" applyBorder="0" applyAlignment="0" applyProtection="0"/>
    <xf numFmtId="0" fontId="68" fillId="32" borderId="0" applyNumberFormat="0" applyBorder="0" applyAlignment="0" applyProtection="0"/>
    <xf numFmtId="0" fontId="69" fillId="38" borderId="0" applyNumberFormat="0" applyBorder="0" applyAlignment="0" applyProtection="0"/>
    <xf numFmtId="0" fontId="68" fillId="27" borderId="0" applyNumberFormat="0" applyBorder="0" applyAlignment="0" applyProtection="0"/>
    <xf numFmtId="0" fontId="68" fillId="33" borderId="0" applyNumberFormat="0" applyBorder="0" applyAlignment="0" applyProtection="0"/>
    <xf numFmtId="0" fontId="69" fillId="39" borderId="0" applyNumberFormat="0" applyBorder="0" applyAlignment="0" applyProtection="0"/>
    <xf numFmtId="0" fontId="68" fillId="28" borderId="0" applyNumberFormat="0" applyBorder="0" applyAlignment="0" applyProtection="0"/>
    <xf numFmtId="0" fontId="68" fillId="34" borderId="0" applyNumberFormat="0" applyBorder="0" applyAlignment="0" applyProtection="0"/>
    <xf numFmtId="0" fontId="69" fillId="40" borderId="0" applyNumberFormat="0" applyBorder="0" applyAlignment="0" applyProtection="0"/>
    <xf numFmtId="0" fontId="68" fillId="29" borderId="0" applyNumberFormat="0" applyBorder="0" applyAlignment="0" applyProtection="0"/>
    <xf numFmtId="0" fontId="68" fillId="35" borderId="0" applyNumberFormat="0" applyBorder="0" applyAlignment="0" applyProtection="0"/>
    <xf numFmtId="0" fontId="69" fillId="41" borderId="0" applyNumberFormat="0" applyBorder="0" applyAlignment="0" applyProtection="0"/>
    <xf numFmtId="0" fontId="68" fillId="30" borderId="0" applyNumberFormat="0" applyBorder="0" applyAlignment="0" applyProtection="0"/>
    <xf numFmtId="0" fontId="68" fillId="36" borderId="0" applyNumberFormat="0" applyBorder="0" applyAlignment="0" applyProtection="0"/>
    <xf numFmtId="0" fontId="69" fillId="42" borderId="0" applyNumberFormat="0" applyBorder="0" applyAlignment="0" applyProtection="0"/>
  </cellStyleXfs>
  <cellXfs count="285">
    <xf numFmtId="0" fontId="0" fillId="0" borderId="0" xfId="0"/>
    <xf numFmtId="0" fontId="1" fillId="0" borderId="0" xfId="0" applyNumberFormat="1" applyFont="1" applyFill="1" applyAlignment="1" applyProtection="1"/>
    <xf numFmtId="0" fontId="15" fillId="0" borderId="0" xfId="0" applyFont="1" applyFill="1"/>
    <xf numFmtId="0" fontId="15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horizontal="center" vertical="top"/>
    </xf>
    <xf numFmtId="0" fontId="30" fillId="0" borderId="0" xfId="0" applyFont="1" applyFill="1"/>
    <xf numFmtId="0" fontId="21" fillId="0" borderId="0" xfId="0" applyNumberFormat="1" applyFont="1" applyFill="1" applyAlignment="1" applyProtection="1"/>
    <xf numFmtId="0" fontId="15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15" fillId="24" borderId="0" xfId="0" applyNumberFormat="1" applyFont="1" applyFill="1" applyAlignment="1" applyProtection="1"/>
    <xf numFmtId="0" fontId="15" fillId="24" borderId="0" xfId="0" applyFont="1" applyFill="1"/>
    <xf numFmtId="0" fontId="29" fillId="24" borderId="0" xfId="0" applyFont="1" applyFill="1"/>
    <xf numFmtId="49" fontId="28" fillId="0" borderId="8" xfId="0" applyNumberFormat="1" applyFont="1" applyFill="1" applyBorder="1" applyAlignment="1">
      <alignment horizontal="center" vertical="center" wrapText="1"/>
    </xf>
    <xf numFmtId="3" fontId="32" fillId="0" borderId="8" xfId="49" applyNumberFormat="1" applyFont="1" applyFill="1" applyBorder="1">
      <alignment vertical="top"/>
    </xf>
    <xf numFmtId="3" fontId="31" fillId="0" borderId="8" xfId="49" applyNumberFormat="1" applyFont="1" applyFill="1" applyBorder="1">
      <alignment vertical="top"/>
    </xf>
    <xf numFmtId="49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vertical="center" wrapText="1"/>
    </xf>
    <xf numFmtId="3" fontId="31" fillId="0" borderId="8" xfId="49" applyNumberFormat="1" applyFont="1" applyFill="1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justify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horizontal="justify" vertical="center" wrapText="1"/>
    </xf>
    <xf numFmtId="3" fontId="31" fillId="0" borderId="8" xfId="0" applyNumberFormat="1" applyFont="1" applyFill="1" applyBorder="1" applyAlignment="1">
      <alignment vertical="center"/>
    </xf>
    <xf numFmtId="49" fontId="1" fillId="24" borderId="8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49" fontId="1" fillId="0" borderId="8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Alignment="1" applyProtection="1">
      <alignment horizontal="left" vertical="top"/>
    </xf>
    <xf numFmtId="49" fontId="20" fillId="24" borderId="8" xfId="0" applyNumberFormat="1" applyFont="1" applyFill="1" applyBorder="1" applyAlignment="1" applyProtection="1">
      <alignment vertical="center"/>
    </xf>
    <xf numFmtId="0" fontId="29" fillId="24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Alignment="1" applyProtection="1"/>
    <xf numFmtId="0" fontId="1" fillId="0" borderId="7" xfId="0" applyFont="1" applyFill="1" applyBorder="1" applyAlignment="1">
      <alignment horizont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1" fillId="24" borderId="8" xfId="0" applyFont="1" applyFill="1" applyBorder="1" applyAlignment="1">
      <alignment horizontal="center" vertical="center" wrapText="1"/>
    </xf>
    <xf numFmtId="49" fontId="1" fillId="24" borderId="8" xfId="0" applyNumberFormat="1" applyFont="1" applyFill="1" applyBorder="1" applyAlignment="1">
      <alignment horizontal="center" vertical="center" wrapText="1"/>
    </xf>
    <xf numFmtId="0" fontId="1" fillId="24" borderId="8" xfId="0" applyFont="1" applyFill="1" applyBorder="1" applyAlignment="1">
      <alignment vertical="center" wrapText="1"/>
    </xf>
    <xf numFmtId="0" fontId="1" fillId="24" borderId="8" xfId="0" applyFont="1" applyFill="1" applyBorder="1" applyAlignment="1">
      <alignment horizontal="justify" vertical="center" wrapText="1"/>
    </xf>
    <xf numFmtId="200" fontId="32" fillId="24" borderId="8" xfId="49" applyNumberFormat="1" applyFont="1" applyFill="1" applyBorder="1" applyAlignment="1">
      <alignment horizontal="center" vertical="center" wrapText="1"/>
    </xf>
    <xf numFmtId="0" fontId="20" fillId="24" borderId="8" xfId="0" applyFont="1" applyFill="1" applyBorder="1" applyAlignment="1">
      <alignment horizontal="justify" vertical="center" wrapText="1"/>
    </xf>
    <xf numFmtId="200" fontId="32" fillId="24" borderId="8" xfId="0" applyNumberFormat="1" applyFont="1" applyFill="1" applyBorder="1" applyAlignment="1">
      <alignment vertical="justify" wrapText="1"/>
    </xf>
    <xf numFmtId="0" fontId="21" fillId="24" borderId="0" xfId="0" applyNumberFormat="1" applyFont="1" applyFill="1" applyAlignment="1" applyProtection="1"/>
    <xf numFmtId="0" fontId="15" fillId="24" borderId="0" xfId="0" applyNumberFormat="1" applyFont="1" applyFill="1" applyBorder="1" applyAlignment="1" applyProtection="1"/>
    <xf numFmtId="0" fontId="29" fillId="24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horizontal="center" vertical="center" wrapText="1"/>
    </xf>
    <xf numFmtId="0" fontId="21" fillId="24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/>
    <xf numFmtId="3" fontId="32" fillId="0" borderId="0" xfId="49" applyNumberFormat="1" applyFont="1" applyFill="1" applyBorder="1">
      <alignment vertical="top"/>
    </xf>
    <xf numFmtId="0" fontId="29" fillId="0" borderId="0" xfId="0" applyFont="1" applyFill="1" applyAlignment="1">
      <alignment horizontal="left" vertical="center" wrapText="1"/>
    </xf>
    <xf numFmtId="49" fontId="35" fillId="0" borderId="0" xfId="0" applyNumberFormat="1" applyFont="1" applyFill="1" applyAlignment="1" applyProtection="1"/>
    <xf numFmtId="0" fontId="21" fillId="0" borderId="0" xfId="0" applyFont="1" applyFill="1" applyBorder="1" applyAlignment="1">
      <alignment horizontal="center"/>
    </xf>
    <xf numFmtId="0" fontId="20" fillId="0" borderId="8" xfId="0" applyNumberFormat="1" applyFont="1" applyFill="1" applyBorder="1" applyAlignment="1" applyProtection="1">
      <alignment vertical="center" wrapText="1"/>
    </xf>
    <xf numFmtId="0" fontId="15" fillId="0" borderId="8" xfId="0" applyFont="1" applyFill="1" applyBorder="1"/>
    <xf numFmtId="3" fontId="32" fillId="0" borderId="8" xfId="49" applyNumberFormat="1" applyFont="1" applyFill="1" applyBorder="1" applyAlignment="1">
      <alignment vertical="center"/>
    </xf>
    <xf numFmtId="200" fontId="32" fillId="24" borderId="9" xfId="49" applyNumberFormat="1" applyFont="1" applyFill="1" applyBorder="1" applyAlignment="1">
      <alignment horizontal="center" vertical="center" wrapText="1"/>
    </xf>
    <xf numFmtId="3" fontId="31" fillId="0" borderId="8" xfId="0" applyNumberFormat="1" applyFont="1" applyFill="1" applyBorder="1" applyAlignment="1">
      <alignment horizontal="center" vertical="justify"/>
    </xf>
    <xf numFmtId="3" fontId="21" fillId="0" borderId="8" xfId="49" applyNumberFormat="1" applyFont="1" applyFill="1" applyBorder="1" applyAlignment="1">
      <alignment horizontal="center" vertical="center"/>
    </xf>
    <xf numFmtId="3" fontId="32" fillId="0" borderId="8" xfId="49" applyNumberFormat="1" applyFont="1" applyFill="1" applyBorder="1" applyAlignment="1">
      <alignment horizontal="center" vertical="center"/>
    </xf>
    <xf numFmtId="3" fontId="31" fillId="24" borderId="8" xfId="49" applyNumberFormat="1" applyFont="1" applyFill="1" applyBorder="1" applyAlignment="1">
      <alignment horizontal="center" vertical="center"/>
    </xf>
    <xf numFmtId="3" fontId="1" fillId="0" borderId="8" xfId="49" applyNumberFormat="1" applyFont="1" applyFill="1" applyBorder="1" applyAlignment="1">
      <alignment horizontal="center" vertical="center"/>
    </xf>
    <xf numFmtId="3" fontId="20" fillId="24" borderId="8" xfId="49" applyNumberFormat="1" applyFont="1" applyFill="1" applyBorder="1" applyAlignment="1">
      <alignment horizontal="center" vertical="center"/>
    </xf>
    <xf numFmtId="200" fontId="32" fillId="24" borderId="8" xfId="49" applyNumberFormat="1" applyFont="1" applyFill="1" applyBorder="1" applyAlignment="1">
      <alignment horizontal="center" vertical="top" wrapText="1"/>
    </xf>
    <xf numFmtId="3" fontId="1" fillId="24" borderId="8" xfId="49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5" fillId="0" borderId="0" xfId="0" applyNumberFormat="1" applyFont="1" applyFill="1" applyAlignment="1" applyProtection="1">
      <alignment horizontal="left" vertical="top"/>
    </xf>
    <xf numFmtId="0" fontId="25" fillId="0" borderId="0" xfId="0" applyFont="1" applyFill="1"/>
    <xf numFmtId="0" fontId="1" fillId="0" borderId="0" xfId="0" applyFont="1" applyFill="1" applyAlignment="1">
      <alignment horizontal="center"/>
    </xf>
    <xf numFmtId="0" fontId="1" fillId="24" borderId="0" xfId="0" applyFont="1" applyFill="1"/>
    <xf numFmtId="3" fontId="1" fillId="0" borderId="0" xfId="0" applyNumberFormat="1" applyFont="1" applyFill="1"/>
    <xf numFmtId="3" fontId="1" fillId="24" borderId="0" xfId="0" applyNumberFormat="1" applyFont="1" applyFill="1"/>
    <xf numFmtId="49" fontId="1" fillId="24" borderId="8" xfId="0" applyNumberFormat="1" applyFont="1" applyFill="1" applyBorder="1" applyAlignment="1" applyProtection="1"/>
    <xf numFmtId="0" fontId="1" fillId="24" borderId="0" xfId="0" applyNumberFormat="1" applyFont="1" applyFill="1" applyAlignment="1" applyProtection="1"/>
    <xf numFmtId="0" fontId="1" fillId="24" borderId="0" xfId="0" applyNumberFormat="1" applyFont="1" applyFill="1" applyBorder="1" applyAlignment="1" applyProtection="1">
      <alignment vertical="center" wrapText="1"/>
    </xf>
    <xf numFmtId="200" fontId="32" fillId="24" borderId="8" xfId="49" applyNumberFormat="1" applyFont="1" applyFill="1" applyBorder="1" applyAlignment="1">
      <alignment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Alignment="1" applyProtection="1"/>
    <xf numFmtId="0" fontId="28" fillId="0" borderId="0" xfId="0" applyFont="1" applyFill="1"/>
    <xf numFmtId="0" fontId="0" fillId="0" borderId="0" xfId="0" applyFill="1"/>
    <xf numFmtId="0" fontId="38" fillId="0" borderId="8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Alignment="1" applyProtection="1"/>
    <xf numFmtId="0" fontId="39" fillId="0" borderId="0" xfId="0" applyFont="1" applyFill="1"/>
    <xf numFmtId="0" fontId="27" fillId="0" borderId="8" xfId="0" applyNumberFormat="1" applyFont="1" applyFill="1" applyBorder="1" applyAlignment="1" applyProtection="1">
      <alignment vertical="center"/>
    </xf>
    <xf numFmtId="0" fontId="38" fillId="0" borderId="8" xfId="0" applyNumberFormat="1" applyFont="1" applyFill="1" applyBorder="1" applyAlignment="1" applyProtection="1">
      <alignment vertical="center"/>
    </xf>
    <xf numFmtId="3" fontId="27" fillId="0" borderId="8" xfId="0" applyNumberFormat="1" applyFont="1" applyFill="1" applyBorder="1" applyAlignment="1" applyProtection="1">
      <alignment horizontal="center" vertical="center"/>
    </xf>
    <xf numFmtId="3" fontId="40" fillId="0" borderId="8" xfId="0" applyNumberFormat="1" applyFont="1" applyBorder="1" applyAlignment="1">
      <alignment vertical="center"/>
    </xf>
    <xf numFmtId="0" fontId="0" fillId="0" borderId="0" xfId="0" applyFont="1" applyFill="1" applyAlignment="1" applyProtection="1"/>
    <xf numFmtId="0" fontId="27" fillId="0" borderId="8" xfId="0" applyNumberFormat="1" applyFont="1" applyFill="1" applyBorder="1" applyAlignment="1" applyProtection="1">
      <alignment horizontal="left" vertical="top"/>
    </xf>
    <xf numFmtId="0" fontId="27" fillId="0" borderId="8" xfId="0" applyNumberFormat="1" applyFont="1" applyFill="1" applyBorder="1" applyAlignment="1" applyProtection="1">
      <alignment vertical="top" wrapText="1"/>
    </xf>
    <xf numFmtId="3" fontId="40" fillId="0" borderId="8" xfId="0" applyNumberFormat="1" applyFont="1" applyBorder="1" applyAlignment="1">
      <alignment vertical="top" wrapText="1"/>
    </xf>
    <xf numFmtId="0" fontId="1" fillId="0" borderId="0" xfId="0" applyNumberFormat="1" applyFont="1" applyFill="1" applyAlignment="1" applyProtection="1">
      <alignment vertical="top"/>
    </xf>
    <xf numFmtId="0" fontId="0" fillId="0" borderId="0" xfId="0" applyFill="1" applyAlignment="1">
      <alignment vertical="top"/>
    </xf>
    <xf numFmtId="0" fontId="41" fillId="0" borderId="8" xfId="0" applyNumberFormat="1" applyFont="1" applyFill="1" applyBorder="1" applyAlignment="1" applyProtection="1">
      <alignment horizontal="left" vertical="top"/>
    </xf>
    <xf numFmtId="0" fontId="41" fillId="0" borderId="8" xfId="0" applyNumberFormat="1" applyFont="1" applyFill="1" applyBorder="1" applyAlignment="1" applyProtection="1">
      <alignment vertical="top" wrapText="1"/>
    </xf>
    <xf numFmtId="3" fontId="42" fillId="0" borderId="8" xfId="0" applyNumberFormat="1" applyFont="1" applyBorder="1" applyAlignment="1">
      <alignment horizontal="center" vertical="top" wrapText="1"/>
    </xf>
    <xf numFmtId="3" fontId="42" fillId="0" borderId="8" xfId="0" applyNumberFormat="1" applyFont="1" applyBorder="1" applyAlignment="1">
      <alignment vertical="top" wrapText="1"/>
    </xf>
    <xf numFmtId="3" fontId="28" fillId="0" borderId="8" xfId="0" applyNumberFormat="1" applyFont="1" applyFill="1" applyBorder="1" applyAlignment="1" applyProtection="1">
      <alignment vertical="top"/>
    </xf>
    <xf numFmtId="0" fontId="1" fillId="0" borderId="0" xfId="0" applyFont="1" applyFill="1" applyAlignment="1">
      <alignment vertical="top"/>
    </xf>
    <xf numFmtId="0" fontId="28" fillId="0" borderId="8" xfId="0" applyNumberFormat="1" applyFont="1" applyFill="1" applyBorder="1" applyAlignment="1" applyProtection="1">
      <alignment horizontal="left" vertical="top"/>
    </xf>
    <xf numFmtId="0" fontId="28" fillId="0" borderId="8" xfId="0" applyNumberFormat="1" applyFont="1" applyFill="1" applyBorder="1" applyAlignment="1" applyProtection="1">
      <alignment vertical="top" wrapText="1"/>
    </xf>
    <xf numFmtId="3" fontId="27" fillId="0" borderId="8" xfId="0" applyNumberFormat="1" applyFont="1" applyFill="1" applyBorder="1" applyAlignment="1" applyProtection="1">
      <alignment horizontal="right" vertical="center"/>
    </xf>
    <xf numFmtId="3" fontId="43" fillId="0" borderId="8" xfId="0" applyNumberFormat="1" applyFont="1" applyBorder="1" applyAlignment="1">
      <alignment vertical="top" wrapText="1"/>
    </xf>
    <xf numFmtId="3" fontId="43" fillId="0" borderId="8" xfId="0" applyNumberFormat="1" applyFont="1" applyBorder="1" applyAlignment="1">
      <alignment horizontal="center" vertical="top" wrapText="1"/>
    </xf>
    <xf numFmtId="3" fontId="28" fillId="0" borderId="8" xfId="0" applyNumberFormat="1" applyFont="1" applyFill="1" applyBorder="1" applyAlignment="1" applyProtection="1">
      <alignment horizontal="right" vertical="center"/>
    </xf>
    <xf numFmtId="0" fontId="29" fillId="24" borderId="0" xfId="0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Alignment="1" applyProtection="1">
      <alignment vertical="top"/>
    </xf>
    <xf numFmtId="0" fontId="28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3" fontId="27" fillId="0" borderId="8" xfId="0" applyNumberFormat="1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200" fontId="32" fillId="0" borderId="8" xfId="49" applyNumberFormat="1" applyFont="1" applyBorder="1" applyAlignment="1">
      <alignment vertical="top" wrapText="1"/>
    </xf>
    <xf numFmtId="3" fontId="32" fillId="0" borderId="8" xfId="49" applyNumberFormat="1" applyFont="1" applyBorder="1" applyAlignment="1">
      <alignment horizontal="right" vertical="center"/>
    </xf>
    <xf numFmtId="3" fontId="31" fillId="0" borderId="8" xfId="49" applyNumberFormat="1" applyFont="1" applyBorder="1" applyAlignment="1">
      <alignment vertical="center"/>
    </xf>
    <xf numFmtId="200" fontId="32" fillId="0" borderId="8" xfId="49" applyNumberFormat="1" applyFont="1" applyBorder="1" applyAlignment="1">
      <alignment vertical="center" wrapText="1"/>
    </xf>
    <xf numFmtId="200" fontId="32" fillId="0" borderId="8" xfId="49" applyNumberFormat="1" applyFont="1" applyFill="1" applyBorder="1" applyAlignment="1">
      <alignment vertical="center" wrapText="1"/>
    </xf>
    <xf numFmtId="49" fontId="20" fillId="0" borderId="8" xfId="0" applyNumberFormat="1" applyFont="1" applyFill="1" applyBorder="1" applyAlignment="1" applyProtection="1">
      <alignment vertical="center"/>
    </xf>
    <xf numFmtId="200" fontId="31" fillId="0" borderId="8" xfId="49" applyNumberFormat="1" applyFont="1" applyBorder="1" applyAlignment="1">
      <alignment vertical="center" wrapText="1"/>
    </xf>
    <xf numFmtId="0" fontId="20" fillId="0" borderId="8" xfId="0" applyFont="1" applyBorder="1"/>
    <xf numFmtId="3" fontId="31" fillId="0" borderId="8" xfId="49" applyNumberFormat="1" applyFont="1" applyBorder="1" applyAlignment="1">
      <alignment horizontal="right" vertical="center"/>
    </xf>
    <xf numFmtId="0" fontId="20" fillId="0" borderId="0" xfId="0" applyFont="1"/>
    <xf numFmtId="200" fontId="32" fillId="0" borderId="0" xfId="49" applyNumberFormat="1" applyFont="1" applyFill="1" applyBorder="1" applyAlignment="1">
      <alignment vertical="center" wrapText="1"/>
    </xf>
    <xf numFmtId="0" fontId="2" fillId="0" borderId="7" xfId="0" applyNumberFormat="1" applyFont="1" applyFill="1" applyBorder="1" applyAlignment="1" applyProtection="1">
      <alignment vertical="center"/>
    </xf>
    <xf numFmtId="3" fontId="27" fillId="0" borderId="8" xfId="0" applyNumberFormat="1" applyFont="1" applyFill="1" applyBorder="1" applyAlignment="1" applyProtection="1">
      <alignment horizontal="right" vertical="center" wrapText="1"/>
    </xf>
    <xf numFmtId="3" fontId="40" fillId="0" borderId="8" xfId="0" applyNumberFormat="1" applyFont="1" applyBorder="1" applyAlignment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45" fillId="0" borderId="8" xfId="0" applyNumberFormat="1" applyFont="1" applyFill="1" applyBorder="1" applyAlignment="1" applyProtection="1">
      <alignment horizontal="center" vertical="center" wrapText="1"/>
    </xf>
    <xf numFmtId="0" fontId="45" fillId="0" borderId="8" xfId="0" applyNumberFormat="1" applyFont="1" applyFill="1" applyBorder="1" applyAlignment="1" applyProtection="1">
      <alignment vertical="center" wrapText="1"/>
    </xf>
    <xf numFmtId="0" fontId="28" fillId="0" borderId="0" xfId="0" applyNumberFormat="1" applyFont="1" applyFill="1" applyAlignment="1" applyProtection="1">
      <alignment wrapText="1"/>
    </xf>
    <xf numFmtId="0" fontId="28" fillId="0" borderId="0" xfId="0" applyFont="1" applyFill="1" applyAlignment="1">
      <alignment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39" fillId="0" borderId="8" xfId="0" applyNumberFormat="1" applyFont="1" applyFill="1" applyBorder="1" applyAlignment="1" applyProtection="1">
      <alignment vertical="center" wrapText="1"/>
    </xf>
    <xf numFmtId="3" fontId="28" fillId="0" borderId="8" xfId="0" applyNumberFormat="1" applyFont="1" applyFill="1" applyBorder="1" applyAlignment="1" applyProtection="1">
      <alignment horizontal="right" vertical="center" wrapText="1"/>
    </xf>
    <xf numFmtId="3" fontId="43" fillId="0" borderId="8" xfId="0" applyNumberFormat="1" applyFont="1" applyFill="1" applyBorder="1" applyAlignment="1">
      <alignment vertical="center" wrapText="1"/>
    </xf>
    <xf numFmtId="3" fontId="43" fillId="0" borderId="8" xfId="0" applyNumberFormat="1" applyFont="1" applyBorder="1" applyAlignment="1">
      <alignment vertical="center" wrapText="1"/>
    </xf>
    <xf numFmtId="3" fontId="40" fillId="0" borderId="8" xfId="0" applyNumberFormat="1" applyFont="1" applyFill="1" applyBorder="1" applyAlignment="1">
      <alignment vertical="center" wrapText="1"/>
    </xf>
    <xf numFmtId="3" fontId="45" fillId="0" borderId="8" xfId="0" applyNumberFormat="1" applyFont="1" applyFill="1" applyBorder="1" applyAlignment="1" applyProtection="1">
      <alignment horizontal="right" vertical="center" wrapText="1"/>
    </xf>
    <xf numFmtId="3" fontId="46" fillId="0" borderId="8" xfId="0" applyNumberFormat="1" applyFont="1" applyBorder="1" applyAlignment="1">
      <alignment vertical="center" wrapText="1"/>
    </xf>
    <xf numFmtId="0" fontId="47" fillId="0" borderId="0" xfId="0" applyFont="1" applyAlignment="1">
      <alignment wrapText="1"/>
    </xf>
    <xf numFmtId="3" fontId="31" fillId="0" borderId="8" xfId="0" applyNumberFormat="1" applyFont="1" applyBorder="1" applyAlignment="1">
      <alignment vertical="center" wrapText="1"/>
    </xf>
    <xf numFmtId="0" fontId="1" fillId="0" borderId="0" xfId="0" applyNumberFormat="1" applyFont="1" applyFill="1" applyAlignment="1" applyProtection="1">
      <alignment wrapText="1"/>
    </xf>
    <xf numFmtId="0" fontId="1" fillId="0" borderId="0" xfId="0" applyFont="1" applyFill="1" applyAlignment="1">
      <alignment wrapText="1"/>
    </xf>
    <xf numFmtId="0" fontId="27" fillId="0" borderId="8" xfId="0" applyNumberFormat="1" applyFont="1" applyFill="1" applyBorder="1" applyAlignment="1" applyProtection="1">
      <alignment vertical="center" wrapText="1"/>
    </xf>
    <xf numFmtId="0" fontId="49" fillId="0" borderId="8" xfId="0" applyNumberFormat="1" applyFont="1" applyFill="1" applyBorder="1" applyAlignment="1" applyProtection="1">
      <alignment vertical="center" wrapText="1"/>
    </xf>
    <xf numFmtId="0" fontId="41" fillId="0" borderId="8" xfId="0" applyNumberFormat="1" applyFont="1" applyFill="1" applyBorder="1" applyAlignment="1" applyProtection="1">
      <alignment horizontal="center" vertical="center" wrapText="1"/>
    </xf>
    <xf numFmtId="0" fontId="39" fillId="0" borderId="8" xfId="0" applyFont="1" applyBorder="1" applyAlignment="1">
      <alignment wrapText="1"/>
    </xf>
    <xf numFmtId="0" fontId="39" fillId="0" borderId="8" xfId="0" applyFont="1" applyBorder="1"/>
    <xf numFmtId="3" fontId="50" fillId="0" borderId="8" xfId="0" applyNumberFormat="1" applyFont="1" applyFill="1" applyBorder="1" applyAlignment="1" applyProtection="1">
      <alignment horizontal="right" vertical="center" wrapText="1"/>
    </xf>
    <xf numFmtId="0" fontId="51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3" fontId="1" fillId="0" borderId="8" xfId="0" applyNumberFormat="1" applyFont="1" applyFill="1" applyBorder="1" applyAlignment="1" applyProtection="1">
      <alignment horizontal="right" vertical="center" wrapText="1"/>
    </xf>
    <xf numFmtId="0" fontId="38" fillId="0" borderId="8" xfId="0" applyFont="1" applyBorder="1" applyAlignment="1">
      <alignment wrapText="1"/>
    </xf>
    <xf numFmtId="3" fontId="52" fillId="0" borderId="8" xfId="0" applyNumberFormat="1" applyFont="1" applyBorder="1" applyAlignment="1">
      <alignment vertical="center" wrapText="1"/>
    </xf>
    <xf numFmtId="0" fontId="45" fillId="24" borderId="8" xfId="0" applyNumberFormat="1" applyFont="1" applyFill="1" applyBorder="1" applyAlignment="1" applyProtection="1">
      <alignment horizontal="center" vertical="center" wrapText="1"/>
    </xf>
    <xf numFmtId="0" fontId="53" fillId="24" borderId="8" xfId="0" applyFont="1" applyFill="1" applyBorder="1" applyAlignment="1">
      <alignment wrapText="1"/>
    </xf>
    <xf numFmtId="3" fontId="45" fillId="24" borderId="8" xfId="0" applyNumberFormat="1" applyFont="1" applyFill="1" applyBorder="1" applyAlignment="1" applyProtection="1">
      <alignment horizontal="right" vertical="center" wrapText="1"/>
    </xf>
    <xf numFmtId="3" fontId="28" fillId="0" borderId="0" xfId="0" applyNumberFormat="1" applyFont="1" applyFill="1" applyAlignment="1" applyProtection="1">
      <alignment wrapText="1"/>
    </xf>
    <xf numFmtId="0" fontId="28" fillId="24" borderId="8" xfId="0" applyNumberFormat="1" applyFont="1" applyFill="1" applyBorder="1" applyAlignment="1" applyProtection="1">
      <alignment horizontal="center" vertical="center" wrapText="1"/>
    </xf>
    <xf numFmtId="0" fontId="25" fillId="24" borderId="8" xfId="0" applyFont="1" applyFill="1" applyBorder="1" applyAlignment="1">
      <alignment wrapText="1"/>
    </xf>
    <xf numFmtId="3" fontId="28" fillId="24" borderId="8" xfId="0" applyNumberFormat="1" applyFont="1" applyFill="1" applyBorder="1" applyAlignment="1" applyProtection="1">
      <alignment horizontal="right" vertical="center" wrapText="1"/>
    </xf>
    <xf numFmtId="0" fontId="25" fillId="24" borderId="8" xfId="0" applyFont="1" applyFill="1" applyBorder="1" applyAlignment="1">
      <alignment vertical="center"/>
    </xf>
    <xf numFmtId="0" fontId="38" fillId="0" borderId="8" xfId="0" applyFont="1" applyBorder="1" applyAlignment="1">
      <alignment vertical="center" wrapText="1"/>
    </xf>
    <xf numFmtId="0" fontId="0" fillId="0" borderId="0" xfId="0" applyFont="1"/>
    <xf numFmtId="0" fontId="25" fillId="0" borderId="0" xfId="0" applyFont="1"/>
    <xf numFmtId="0" fontId="0" fillId="24" borderId="0" xfId="0" applyFont="1" applyFill="1"/>
    <xf numFmtId="0" fontId="28" fillId="0" borderId="0" xfId="0" applyFont="1"/>
    <xf numFmtId="0" fontId="56" fillId="0" borderId="0" xfId="0" applyFont="1"/>
    <xf numFmtId="0" fontId="28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/>
    <xf numFmtId="0" fontId="57" fillId="0" borderId="0" xfId="0" applyFont="1" applyAlignment="1">
      <alignment horizontal="center" vertical="center" wrapText="1"/>
    </xf>
    <xf numFmtId="0" fontId="0" fillId="24" borderId="0" xfId="0" applyFont="1" applyFill="1" applyBorder="1"/>
    <xf numFmtId="0" fontId="59" fillId="0" borderId="0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61" fillId="0" borderId="8" xfId="0" applyFont="1" applyBorder="1" applyAlignment="1">
      <alignment horizontal="right"/>
    </xf>
    <xf numFmtId="0" fontId="38" fillId="0" borderId="8" xfId="20" applyFont="1" applyBorder="1" applyAlignment="1">
      <alignment horizontal="right"/>
    </xf>
    <xf numFmtId="0" fontId="38" fillId="0" borderId="10" xfId="20" applyFont="1" applyBorder="1" applyAlignment="1">
      <alignment horizontal="center"/>
    </xf>
    <xf numFmtId="0" fontId="38" fillId="24" borderId="10" xfId="0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0" fontId="38" fillId="24" borderId="8" xfId="0" applyFont="1" applyFill="1" applyBorder="1" applyAlignment="1">
      <alignment horizontal="center" vertical="center" wrapText="1"/>
    </xf>
    <xf numFmtId="0" fontId="38" fillId="24" borderId="12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8" fillId="24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24" borderId="11" xfId="0" applyFont="1" applyFill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 wrapText="1"/>
    </xf>
    <xf numFmtId="49" fontId="28" fillId="24" borderId="8" xfId="0" applyNumberFormat="1" applyFont="1" applyFill="1" applyBorder="1" applyAlignment="1">
      <alignment horizontal="justify" vertical="center" wrapText="1"/>
    </xf>
    <xf numFmtId="49" fontId="28" fillId="0" borderId="8" xfId="0" applyNumberFormat="1" applyFont="1" applyBorder="1" applyAlignment="1">
      <alignment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8" fillId="24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Border="1" applyAlignment="1">
      <alignment horizontal="center"/>
    </xf>
    <xf numFmtId="0" fontId="63" fillId="0" borderId="8" xfId="0" applyFont="1" applyBorder="1" applyAlignment="1">
      <alignment horizontal="right"/>
    </xf>
    <xf numFmtId="0" fontId="27" fillId="0" borderId="8" xfId="20" applyFont="1" applyBorder="1" applyAlignment="1">
      <alignment horizontal="right"/>
    </xf>
    <xf numFmtId="0" fontId="27" fillId="0" borderId="10" xfId="20" applyFont="1" applyBorder="1" applyAlignment="1">
      <alignment horizontal="center"/>
    </xf>
    <xf numFmtId="49" fontId="25" fillId="24" borderId="8" xfId="0" applyNumberFormat="1" applyFont="1" applyFill="1" applyBorder="1" applyAlignment="1">
      <alignment wrapText="1"/>
    </xf>
    <xf numFmtId="0" fontId="38" fillId="24" borderId="8" xfId="0" applyFont="1" applyFill="1" applyBorder="1" applyAlignment="1">
      <alignment wrapText="1"/>
    </xf>
    <xf numFmtId="4" fontId="28" fillId="24" borderId="8" xfId="0" applyNumberFormat="1" applyFont="1" applyFill="1" applyBorder="1" applyAlignment="1">
      <alignment horizontal="right" wrapText="1"/>
    </xf>
    <xf numFmtId="4" fontId="1" fillId="24" borderId="8" xfId="0" applyNumberFormat="1" applyFont="1" applyFill="1" applyBorder="1" applyAlignment="1">
      <alignment horizontal="right" wrapText="1"/>
    </xf>
    <xf numFmtId="3" fontId="1" fillId="24" borderId="8" xfId="0" applyNumberFormat="1" applyFont="1" applyFill="1" applyBorder="1" applyAlignment="1">
      <alignment horizontal="right" wrapText="1"/>
    </xf>
    <xf numFmtId="4" fontId="28" fillId="24" borderId="9" xfId="0" applyNumberFormat="1" applyFont="1" applyFill="1" applyBorder="1" applyAlignment="1">
      <alignment horizontal="right" wrapText="1"/>
    </xf>
    <xf numFmtId="4" fontId="28" fillId="0" borderId="8" xfId="0" applyNumberFormat="1" applyFont="1" applyBorder="1"/>
    <xf numFmtId="3" fontId="28" fillId="24" borderId="8" xfId="0" applyNumberFormat="1" applyFont="1" applyFill="1" applyBorder="1" applyAlignment="1">
      <alignment horizontal="right" wrapText="1"/>
    </xf>
    <xf numFmtId="4" fontId="1" fillId="0" borderId="8" xfId="0" applyNumberFormat="1" applyFont="1" applyBorder="1"/>
    <xf numFmtId="0" fontId="64" fillId="0" borderId="8" xfId="0" applyFont="1" applyBorder="1" applyAlignment="1">
      <alignment horizontal="right"/>
    </xf>
    <xf numFmtId="0" fontId="27" fillId="0" borderId="8" xfId="20" applyFont="1" applyBorder="1" applyAlignment="1">
      <alignment horizontal="right" wrapText="1"/>
    </xf>
    <xf numFmtId="0" fontId="6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27" fillId="24" borderId="8" xfId="0" applyNumberFormat="1" applyFont="1" applyFill="1" applyBorder="1" applyAlignment="1">
      <alignment horizontal="right" wrapText="1"/>
    </xf>
    <xf numFmtId="4" fontId="20" fillId="24" borderId="8" xfId="0" applyNumberFormat="1" applyFont="1" applyFill="1" applyBorder="1" applyAlignment="1">
      <alignment horizontal="right" wrapText="1"/>
    </xf>
    <xf numFmtId="3" fontId="20" fillId="24" borderId="8" xfId="0" applyNumberFormat="1" applyFont="1" applyFill="1" applyBorder="1" applyAlignment="1">
      <alignment horizontal="right" wrapText="1"/>
    </xf>
    <xf numFmtId="4" fontId="20" fillId="0" borderId="8" xfId="0" applyNumberFormat="1" applyFont="1" applyBorder="1"/>
    <xf numFmtId="0" fontId="20" fillId="0" borderId="8" xfId="0" applyFont="1" applyBorder="1" applyAlignment="1">
      <alignment horizontal="right"/>
    </xf>
    <xf numFmtId="0" fontId="1" fillId="0" borderId="8" xfId="0" applyFont="1" applyBorder="1"/>
    <xf numFmtId="0" fontId="29" fillId="0" borderId="0" xfId="0" applyFont="1" applyAlignment="1">
      <alignment horizontal="center"/>
    </xf>
    <xf numFmtId="0" fontId="66" fillId="0" borderId="0" xfId="0" applyFont="1" applyBorder="1" applyAlignment="1">
      <alignment horizontal="right"/>
    </xf>
    <xf numFmtId="0" fontId="0" fillId="0" borderId="0" xfId="0" applyFont="1" applyBorder="1"/>
    <xf numFmtId="2" fontId="66" fillId="0" borderId="0" xfId="0" applyNumberFormat="1" applyFont="1" applyBorder="1" applyAlignment="1">
      <alignment horizontal="right"/>
    </xf>
    <xf numFmtId="2" fontId="0" fillId="0" borderId="0" xfId="0" applyNumberFormat="1" applyFont="1" applyBorder="1"/>
    <xf numFmtId="2" fontId="0" fillId="0" borderId="0" xfId="0" applyNumberFormat="1" applyFont="1"/>
    <xf numFmtId="0" fontId="67" fillId="0" borderId="13" xfId="0" applyFont="1" applyBorder="1" applyAlignment="1">
      <alignment horizontal="center"/>
    </xf>
    <xf numFmtId="0" fontId="2" fillId="24" borderId="8" xfId="0" applyFont="1" applyFill="1" applyBorder="1" applyAlignment="1">
      <alignment horizontal="center" vertical="center" wrapText="1"/>
    </xf>
    <xf numFmtId="4" fontId="1" fillId="24" borderId="9" xfId="0" applyNumberFormat="1" applyFont="1" applyFill="1" applyBorder="1" applyAlignment="1">
      <alignment horizontal="right" wrapText="1"/>
    </xf>
    <xf numFmtId="0" fontId="29" fillId="24" borderId="0" xfId="0" applyNumberFormat="1" applyFont="1" applyFill="1" applyBorder="1" applyAlignment="1" applyProtection="1">
      <alignment horizontal="center" vertical="center" wrapText="1"/>
    </xf>
    <xf numFmtId="0" fontId="38" fillId="0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5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37" fillId="0" borderId="0" xfId="0" applyNumberFormat="1" applyFont="1" applyFill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38" fillId="0" borderId="10" xfId="0" applyNumberFormat="1" applyFont="1" applyFill="1" applyBorder="1" applyAlignment="1" applyProtection="1">
      <alignment horizontal="center" vertical="center" wrapText="1"/>
    </xf>
    <xf numFmtId="0" fontId="38" fillId="0" borderId="1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1" fillId="24" borderId="8" xfId="0" applyNumberFormat="1" applyFont="1" applyFill="1" applyBorder="1" applyAlignment="1" applyProtection="1">
      <alignment horizontal="center" vertical="center" wrapText="1"/>
    </xf>
    <xf numFmtId="0" fontId="25" fillId="24" borderId="8" xfId="0" applyNumberFormat="1" applyFont="1" applyFill="1" applyBorder="1" applyAlignment="1" applyProtection="1">
      <alignment horizontal="center" vertical="center" wrapText="1"/>
    </xf>
    <xf numFmtId="0" fontId="25" fillId="24" borderId="0" xfId="0" applyNumberFormat="1" applyFont="1" applyFill="1" applyBorder="1" applyAlignment="1" applyProtection="1">
      <alignment horizontal="left" vertical="center" wrapText="1"/>
    </xf>
    <xf numFmtId="0" fontId="2" fillId="24" borderId="8" xfId="0" applyNumberFormat="1" applyFont="1" applyFill="1" applyBorder="1" applyAlignment="1" applyProtection="1">
      <alignment horizontal="center" vertical="center" wrapText="1"/>
    </xf>
    <xf numFmtId="0" fontId="3" fillId="24" borderId="8" xfId="0" applyNumberFormat="1" applyFont="1" applyFill="1" applyBorder="1" applyAlignment="1" applyProtection="1">
      <alignment horizontal="center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8" fillId="0" borderId="0" xfId="0" applyNumberFormat="1" applyFont="1" applyFill="1" applyAlignment="1" applyProtection="1">
      <alignment horizontal="center" vertical="center" wrapText="1"/>
    </xf>
    <xf numFmtId="0" fontId="38" fillId="24" borderId="8" xfId="0" applyFont="1" applyFill="1" applyBorder="1" applyAlignment="1">
      <alignment horizontal="center" vertical="center" wrapText="1"/>
    </xf>
    <xf numFmtId="49" fontId="36" fillId="0" borderId="0" xfId="0" applyNumberFormat="1" applyFont="1" applyFill="1" applyAlignment="1" applyProtection="1">
      <alignment horizontal="center"/>
    </xf>
    <xf numFmtId="0" fontId="28" fillId="0" borderId="0" xfId="0" applyNumberFormat="1" applyFont="1" applyFill="1" applyAlignment="1" applyProtection="1">
      <alignment horizontal="center"/>
    </xf>
    <xf numFmtId="0" fontId="25" fillId="0" borderId="10" xfId="0" applyFont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18" xfId="0" applyFont="1" applyFill="1" applyBorder="1" applyAlignment="1">
      <alignment horizontal="center" vertical="center" wrapText="1"/>
    </xf>
    <xf numFmtId="0" fontId="38" fillId="24" borderId="19" xfId="0" applyFont="1" applyFill="1" applyBorder="1" applyAlignment="1">
      <alignment horizontal="center" vertical="center" wrapText="1"/>
    </xf>
    <xf numFmtId="0" fontId="38" fillId="24" borderId="2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24" borderId="0" xfId="0" applyNumberFormat="1" applyFont="1" applyFill="1" applyBorder="1" applyAlignment="1" applyProtection="1">
      <alignment horizontal="left" vertical="center" wrapText="1"/>
    </xf>
    <xf numFmtId="0" fontId="38" fillId="24" borderId="10" xfId="0" applyFont="1" applyFill="1" applyBorder="1" applyAlignment="1">
      <alignment horizontal="center"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/>
    </xf>
    <xf numFmtId="0" fontId="44" fillId="0" borderId="0" xfId="0" applyNumberFormat="1" applyFont="1" applyFill="1" applyBorder="1" applyAlignment="1" applyProtection="1">
      <alignment horizontal="center" vertical="top" wrapText="1"/>
    </xf>
    <xf numFmtId="49" fontId="1" fillId="24" borderId="15" xfId="0" applyNumberFormat="1" applyFont="1" applyFill="1" applyBorder="1" applyAlignment="1">
      <alignment horizontal="center" vertical="center" wrapText="1"/>
    </xf>
    <xf numFmtId="49" fontId="1" fillId="24" borderId="9" xfId="0" applyNumberFormat="1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center" vertical="center" wrapText="1"/>
    </xf>
    <xf numFmtId="0" fontId="1" fillId="24" borderId="9" xfId="0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left" vertical="center" wrapText="1"/>
    </xf>
    <xf numFmtId="0" fontId="1" fillId="24" borderId="9" xfId="0" applyFont="1" applyFill="1" applyBorder="1" applyAlignment="1">
      <alignment horizontal="left" vertical="center" wrapText="1"/>
    </xf>
    <xf numFmtId="0" fontId="21" fillId="24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200" fontId="32" fillId="24" borderId="8" xfId="49" applyNumberFormat="1" applyFont="1" applyFill="1" applyBorder="1" applyAlignment="1">
      <alignment horizontal="center" vertical="center" wrapText="1"/>
    </xf>
    <xf numFmtId="200" fontId="32" fillId="24" borderId="15" xfId="49" applyNumberFormat="1" applyFont="1" applyFill="1" applyBorder="1" applyAlignment="1">
      <alignment horizontal="center" vertical="center" wrapText="1"/>
    </xf>
    <xf numFmtId="200" fontId="32" fillId="24" borderId="16" xfId="49" applyNumberFormat="1" applyFont="1" applyFill="1" applyBorder="1" applyAlignment="1">
      <alignment horizontal="center" vertical="center" wrapText="1"/>
    </xf>
    <xf numFmtId="200" fontId="32" fillId="24" borderId="9" xfId="49" applyNumberFormat="1" applyFont="1" applyFill="1" applyBorder="1" applyAlignment="1">
      <alignment horizontal="center" vertical="center" wrapText="1"/>
    </xf>
  </cellXfs>
  <cellStyles count="80">
    <cellStyle name="20% - Акцент1" xfId="1"/>
    <cellStyle name="20% — акцент1" xfId="62" builtinId="30" hidden="1"/>
    <cellStyle name="20% - Акцент2" xfId="2"/>
    <cellStyle name="20% — акцент2" xfId="65" builtinId="34" hidden="1"/>
    <cellStyle name="20% - Акцент3" xfId="3"/>
    <cellStyle name="20% — акцент3" xfId="68" builtinId="38" hidden="1"/>
    <cellStyle name="20% - Акцент4" xfId="4"/>
    <cellStyle name="20% — акцент4" xfId="71" builtinId="42" hidden="1"/>
    <cellStyle name="20% - Акцент5" xfId="5"/>
    <cellStyle name="20% — акцент5" xfId="74" builtinId="46" hidden="1"/>
    <cellStyle name="20% - Акцент6" xfId="6"/>
    <cellStyle name="20% — акцент6" xfId="77" builtinId="50" hidden="1"/>
    <cellStyle name="40% - Акцент1" xfId="7"/>
    <cellStyle name="40% — акцент1" xfId="63" builtinId="31" hidden="1"/>
    <cellStyle name="40% - Акцент2" xfId="8"/>
    <cellStyle name="40% — акцент2" xfId="66" builtinId="35" hidden="1"/>
    <cellStyle name="40% - Акцент3" xfId="9"/>
    <cellStyle name="40% — акцент3" xfId="69" builtinId="39" hidden="1"/>
    <cellStyle name="40% - Акцент4" xfId="10"/>
    <cellStyle name="40% — акцент4" xfId="72" builtinId="43" hidden="1"/>
    <cellStyle name="40% - Акцент5" xfId="11"/>
    <cellStyle name="40% — акцент5" xfId="75" builtinId="47" hidden="1"/>
    <cellStyle name="40% - Акцент6" xfId="12"/>
    <cellStyle name="40% — акцент6" xfId="78" builtinId="51" hidden="1"/>
    <cellStyle name="60% - Акцент1" xfId="13"/>
    <cellStyle name="60% — акцент1" xfId="64" builtinId="32" hidden="1"/>
    <cellStyle name="60% - Акцент2" xfId="14"/>
    <cellStyle name="60% — акцент2" xfId="67" builtinId="36" hidden="1"/>
    <cellStyle name="60% - Акцент3" xfId="15"/>
    <cellStyle name="60% — акцент3" xfId="70" builtinId="40" hidden="1"/>
    <cellStyle name="60% - Акцент4" xfId="16"/>
    <cellStyle name="60% — акцент4" xfId="73" builtinId="44" hidden="1"/>
    <cellStyle name="60% - Акцент5" xfId="17"/>
    <cellStyle name="60% — акцент5" xfId="76" builtinId="48" hidden="1"/>
    <cellStyle name="60% - Акцент6" xfId="18"/>
    <cellStyle name="60% — акцент6" xfId="79" builtinId="52" hidden="1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вод " xfId="27"/>
    <cellStyle name="Вывод" xfId="28"/>
    <cellStyle name="Вычисление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a-&#1087;&#1082;\&#1096;&#1091;&#1093;\Users\Luda\Desktop\&#1055;&#1086;&#1089;&#1083;&#1077;&#1076;&#1085;&#1080;&#1077;%20&#1080;&#1079;&#1084;&#1077;&#1085;&#1077;&#1085;&#1080;&#1103;%20&#1073;&#1102;&#1076;&#1078;&#1077;&#1090;%202020\&#1073;&#1102;&#1076;&#1078;&#1077;&#1090;_2020\&#1089;&#1074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a-&#1087;&#1082;\&#1096;&#1091;&#1093;\&#1073;&#1102;&#1076;&#1078;&#1077;&#1090;2020_&#1086;&#1090;_13_12_\&#1089;&#1074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a-&#1087;&#1082;\&#1096;&#1091;&#1093;\Users\Luda\Desktop\&#1055;&#1086;&#1089;&#1083;&#1077;&#1076;&#1085;&#1080;&#1077;%20&#1080;&#1079;&#1084;&#1077;&#1085;&#1077;&#1085;&#1080;&#1103;%20&#1073;&#1102;&#1076;&#1078;&#1077;&#1090;%202020\&#1055;&#1088;&#1086;&#1075;&#1085;&#1086;&#1079;_&#1076;&#1086;&#1093;&#1086;&#1076;&#1080;%202020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альний"/>
      <sheetName val="спецфонд"/>
      <sheetName val="кошт"/>
      <sheetName val="свод"/>
    </sheetNames>
    <sheetDataSet>
      <sheetData sheetId="0" refreshError="1"/>
      <sheetData sheetId="1" refreshError="1">
        <row r="5">
          <cell r="X5">
            <v>320900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альний"/>
      <sheetName val="спецфонд"/>
      <sheetName val="кошт"/>
      <sheetName val="свод"/>
      <sheetName val="2021_Заг"/>
      <sheetName val="2021сф"/>
      <sheetName val="2022_заг"/>
      <sheetName val="2022_спец"/>
      <sheetName val="кош_21-22"/>
    </sheetNames>
    <sheetDataSet>
      <sheetData sheetId="0">
        <row r="5">
          <cell r="H5">
            <v>30000</v>
          </cell>
          <cell r="M5">
            <v>123731</v>
          </cell>
          <cell r="O5">
            <v>588068</v>
          </cell>
          <cell r="Q5">
            <v>0</v>
          </cell>
        </row>
        <row r="8">
          <cell r="D8">
            <v>9850154</v>
          </cell>
          <cell r="M8">
            <v>85188</v>
          </cell>
          <cell r="O8">
            <v>324936</v>
          </cell>
        </row>
        <row r="9">
          <cell r="L9">
            <v>1313301</v>
          </cell>
        </row>
        <row r="19">
          <cell r="M19">
            <v>9802</v>
          </cell>
          <cell r="O19">
            <v>64852</v>
          </cell>
        </row>
      </sheetData>
      <sheetData sheetId="1">
        <row r="5">
          <cell r="D5">
            <v>50000</v>
          </cell>
          <cell r="X5">
            <v>320900</v>
          </cell>
        </row>
        <row r="6">
          <cell r="L6">
            <v>32000</v>
          </cell>
        </row>
        <row r="12">
          <cell r="F12">
            <v>2650042</v>
          </cell>
        </row>
        <row r="41">
          <cell r="D41">
            <v>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испр)"/>
    </sheetNames>
    <sheetDataSet>
      <sheetData sheetId="0" refreshError="1"/>
      <sheetData sheetId="1" refreshError="1">
        <row r="10">
          <cell r="F10">
            <v>1.39</v>
          </cell>
        </row>
        <row r="11">
          <cell r="F11">
            <v>194.05</v>
          </cell>
        </row>
        <row r="15">
          <cell r="F15">
            <v>10.199999999999999</v>
          </cell>
        </row>
        <row r="16">
          <cell r="F16">
            <v>493.7</v>
          </cell>
        </row>
        <row r="17">
          <cell r="F17">
            <v>1251</v>
          </cell>
        </row>
        <row r="18">
          <cell r="F18">
            <v>938.2</v>
          </cell>
        </row>
        <row r="19">
          <cell r="F19">
            <v>20118.400000000001</v>
          </cell>
        </row>
        <row r="20">
          <cell r="F20">
            <v>7214.8</v>
          </cell>
        </row>
        <row r="21">
          <cell r="F21">
            <v>594</v>
          </cell>
        </row>
        <row r="22">
          <cell r="F22">
            <v>1452.6</v>
          </cell>
        </row>
        <row r="25">
          <cell r="F25">
            <v>2883.3</v>
          </cell>
        </row>
        <row r="26">
          <cell r="F26">
            <v>10385.949999999999</v>
          </cell>
        </row>
        <row r="34">
          <cell r="F34">
            <v>189.3</v>
          </cell>
        </row>
        <row r="43">
          <cell r="F43">
            <v>60790.188000000002</v>
          </cell>
        </row>
        <row r="46">
          <cell r="F46">
            <v>54.75</v>
          </cell>
        </row>
        <row r="47">
          <cell r="F47">
            <v>33.5</v>
          </cell>
        </row>
        <row r="48">
          <cell r="F48">
            <v>232.65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5"/>
  <sheetViews>
    <sheetView showGridLines="0" showZeros="0" zoomScaleNormal="100" workbookViewId="0">
      <selection activeCell="D5" sqref="D5"/>
    </sheetView>
  </sheetViews>
  <sheetFormatPr defaultColWidth="9.1640625" defaultRowHeight="12.75" x14ac:dyDescent="0.2"/>
  <cols>
    <col min="1" max="1" width="11.83203125" style="1" customWidth="1"/>
    <col min="2" max="2" width="47.1640625" style="1" customWidth="1"/>
    <col min="3" max="3" width="14.1640625" style="1" customWidth="1"/>
    <col min="4" max="4" width="13.6640625" style="1" customWidth="1"/>
    <col min="5" max="5" width="14.1640625" style="1" customWidth="1"/>
    <col min="6" max="6" width="13.5" style="1" customWidth="1"/>
    <col min="7" max="7" width="10.1640625" style="1" bestFit="1" customWidth="1"/>
    <col min="8" max="12" width="9.1640625" style="1"/>
    <col min="13" max="244" width="9.1640625" style="64"/>
    <col min="245" max="253" width="9.1640625" style="1"/>
    <col min="254" max="16384" width="9.1640625" style="64"/>
  </cols>
  <sheetData>
    <row r="1" spans="1:253" x14ac:dyDescent="0.2">
      <c r="D1" s="1" t="s">
        <v>196</v>
      </c>
    </row>
    <row r="2" spans="1:253" x14ac:dyDescent="0.2">
      <c r="D2" s="1" t="s">
        <v>85</v>
      </c>
    </row>
    <row r="3" spans="1:253" x14ac:dyDescent="0.2">
      <c r="D3" s="1" t="s">
        <v>90</v>
      </c>
    </row>
    <row r="4" spans="1:253" x14ac:dyDescent="0.2">
      <c r="D4" s="1" t="s">
        <v>89</v>
      </c>
    </row>
    <row r="5" spans="1:253" x14ac:dyDescent="0.2">
      <c r="D5" s="1" t="s">
        <v>298</v>
      </c>
    </row>
    <row r="6" spans="1:253" ht="12.6" customHeight="1" x14ac:dyDescent="0.2">
      <c r="A6" s="231" t="s">
        <v>197</v>
      </c>
      <c r="B6" s="232"/>
      <c r="C6" s="232"/>
      <c r="D6" s="232"/>
      <c r="E6" s="232"/>
    </row>
    <row r="7" spans="1:253" ht="10.9" customHeight="1" x14ac:dyDescent="0.2">
      <c r="A7" s="233" t="s">
        <v>119</v>
      </c>
      <c r="B7" s="233"/>
      <c r="C7" s="233"/>
      <c r="D7" s="233"/>
      <c r="E7" s="233"/>
      <c r="F7" s="233"/>
    </row>
    <row r="8" spans="1:253" ht="10.9" customHeight="1" x14ac:dyDescent="0.2">
      <c r="A8" s="234" t="s">
        <v>118</v>
      </c>
      <c r="B8" s="234"/>
      <c r="C8" s="234"/>
      <c r="D8" s="234"/>
      <c r="E8" s="234"/>
      <c r="F8" s="234"/>
    </row>
    <row r="9" spans="1:253" ht="10.9" customHeight="1" x14ac:dyDescent="0.2">
      <c r="B9" s="125"/>
      <c r="C9" s="125"/>
      <c r="D9" s="125"/>
      <c r="E9" s="125"/>
      <c r="F9" s="34" t="s">
        <v>198</v>
      </c>
    </row>
    <row r="10" spans="1:253" ht="30.75" customHeight="1" x14ac:dyDescent="0.2">
      <c r="A10" s="230" t="s">
        <v>159</v>
      </c>
      <c r="B10" s="230" t="s">
        <v>199</v>
      </c>
      <c r="C10" s="230" t="s">
        <v>50</v>
      </c>
      <c r="D10" s="230" t="s">
        <v>0</v>
      </c>
      <c r="E10" s="230" t="s">
        <v>1</v>
      </c>
      <c r="F10" s="230"/>
    </row>
    <row r="11" spans="1:253" ht="42.75" customHeight="1" x14ac:dyDescent="0.2">
      <c r="A11" s="230"/>
      <c r="B11" s="230"/>
      <c r="C11" s="230"/>
      <c r="D11" s="230"/>
      <c r="E11" s="79" t="s">
        <v>200</v>
      </c>
      <c r="F11" s="75" t="s">
        <v>51</v>
      </c>
    </row>
    <row r="12" spans="1:253" s="129" customFormat="1" ht="22.15" customHeight="1" x14ac:dyDescent="0.2">
      <c r="A12" s="109">
        <v>10000000</v>
      </c>
      <c r="B12" s="111" t="s">
        <v>201</v>
      </c>
      <c r="C12" s="126">
        <f>D12+E12</f>
        <v>58734667</v>
      </c>
      <c r="D12" s="127">
        <f>D13+D18+D22+D38+D16</f>
        <v>58413767</v>
      </c>
      <c r="E12" s="127">
        <f>E13+E18+E22+E38</f>
        <v>320900</v>
      </c>
      <c r="F12" s="127">
        <f>F13+F18+F22+F38</f>
        <v>0</v>
      </c>
      <c r="G12" s="128"/>
      <c r="H12" s="128"/>
      <c r="I12" s="128"/>
      <c r="J12" s="128"/>
      <c r="K12" s="128"/>
      <c r="L12" s="128"/>
      <c r="IK12" s="128"/>
      <c r="IL12" s="128"/>
      <c r="IM12" s="128"/>
      <c r="IN12" s="128"/>
      <c r="IO12" s="128"/>
      <c r="IP12" s="128"/>
      <c r="IQ12" s="128"/>
      <c r="IR12" s="128"/>
      <c r="IS12" s="128"/>
    </row>
    <row r="13" spans="1:253" s="133" customFormat="1" ht="31.5" customHeight="1" x14ac:dyDescent="0.25">
      <c r="A13" s="130">
        <v>11000000</v>
      </c>
      <c r="B13" s="131" t="s">
        <v>202</v>
      </c>
      <c r="C13" s="126">
        <f>D13+E13</f>
        <v>1390</v>
      </c>
      <c r="D13" s="127">
        <f>D14</f>
        <v>1390</v>
      </c>
      <c r="E13" s="127">
        <f>E14</f>
        <v>0</v>
      </c>
      <c r="F13" s="127">
        <f>F14</f>
        <v>0</v>
      </c>
      <c r="G13" s="132"/>
      <c r="H13" s="132"/>
      <c r="I13" s="132"/>
      <c r="J13" s="132"/>
      <c r="K13" s="132"/>
      <c r="L13" s="132"/>
      <c r="IK13" s="132"/>
      <c r="IL13" s="132"/>
      <c r="IM13" s="132"/>
      <c r="IN13" s="132"/>
      <c r="IO13" s="132"/>
      <c r="IP13" s="132"/>
      <c r="IQ13" s="132"/>
      <c r="IR13" s="132"/>
      <c r="IS13" s="132"/>
    </row>
    <row r="14" spans="1:253" s="132" customFormat="1" ht="20.25" customHeight="1" x14ac:dyDescent="0.25">
      <c r="A14" s="130">
        <v>11020000</v>
      </c>
      <c r="B14" s="131" t="s">
        <v>203</v>
      </c>
      <c r="C14" s="126">
        <f>D14+E14</f>
        <v>1390</v>
      </c>
      <c r="D14" s="126">
        <f>D15</f>
        <v>1390</v>
      </c>
      <c r="E14" s="126"/>
      <c r="F14" s="126"/>
    </row>
    <row r="15" spans="1:253" s="133" customFormat="1" ht="26.45" customHeight="1" x14ac:dyDescent="0.25">
      <c r="A15" s="134">
        <v>11020200</v>
      </c>
      <c r="B15" s="135" t="s">
        <v>204</v>
      </c>
      <c r="C15" s="136">
        <f>D15+E15</f>
        <v>1390</v>
      </c>
      <c r="D15" s="137">
        <f>'[3]Лист1 (испр)'!$F$10*1000</f>
        <v>1390</v>
      </c>
      <c r="E15" s="138"/>
      <c r="F15" s="138"/>
      <c r="G15" s="132"/>
      <c r="H15" s="132"/>
      <c r="I15" s="132"/>
      <c r="J15" s="132"/>
      <c r="K15" s="132"/>
      <c r="L15" s="132"/>
      <c r="IK15" s="132"/>
      <c r="IL15" s="132"/>
      <c r="IM15" s="132"/>
      <c r="IN15" s="132"/>
      <c r="IO15" s="132"/>
      <c r="IP15" s="132"/>
      <c r="IQ15" s="132"/>
      <c r="IR15" s="132"/>
      <c r="IS15" s="132"/>
    </row>
    <row r="16" spans="1:253" s="133" customFormat="1" ht="26.45" customHeight="1" x14ac:dyDescent="0.25">
      <c r="A16" s="130">
        <v>13000000</v>
      </c>
      <c r="B16" s="131" t="s">
        <v>205</v>
      </c>
      <c r="C16" s="126">
        <f>D16</f>
        <v>194050</v>
      </c>
      <c r="D16" s="139">
        <f>D17</f>
        <v>194050</v>
      </c>
      <c r="E16" s="138"/>
      <c r="F16" s="138"/>
      <c r="G16" s="132"/>
      <c r="H16" s="132"/>
      <c r="I16" s="132"/>
      <c r="J16" s="132"/>
      <c r="K16" s="132"/>
      <c r="L16" s="132"/>
      <c r="IK16" s="132"/>
      <c r="IL16" s="132"/>
      <c r="IM16" s="132"/>
      <c r="IN16" s="132"/>
      <c r="IO16" s="132"/>
      <c r="IP16" s="132"/>
      <c r="IQ16" s="132"/>
      <c r="IR16" s="132"/>
      <c r="IS16" s="132"/>
    </row>
    <row r="17" spans="1:253" s="133" customFormat="1" ht="34.5" customHeight="1" x14ac:dyDescent="0.25">
      <c r="A17" s="134">
        <v>13030100</v>
      </c>
      <c r="B17" s="135" t="s">
        <v>206</v>
      </c>
      <c r="C17" s="136">
        <f t="shared" ref="C17:C55" si="0">D17+E17</f>
        <v>194050</v>
      </c>
      <c r="D17" s="137">
        <f>'[3]Лист1 (испр)'!$F$11*1000</f>
        <v>194050</v>
      </c>
      <c r="E17" s="138"/>
      <c r="F17" s="138"/>
      <c r="G17" s="132"/>
      <c r="H17" s="132"/>
      <c r="I17" s="132"/>
      <c r="J17" s="132"/>
      <c r="K17" s="132"/>
      <c r="L17" s="132"/>
      <c r="IK17" s="132"/>
      <c r="IL17" s="132"/>
      <c r="IM17" s="132"/>
      <c r="IN17" s="132"/>
      <c r="IO17" s="132"/>
      <c r="IP17" s="132"/>
      <c r="IQ17" s="132"/>
      <c r="IR17" s="132"/>
      <c r="IS17" s="132"/>
    </row>
    <row r="18" spans="1:253" s="133" customFormat="1" ht="26.25" customHeight="1" x14ac:dyDescent="0.25">
      <c r="A18" s="130">
        <v>14000000</v>
      </c>
      <c r="B18" s="131" t="s">
        <v>207</v>
      </c>
      <c r="C18" s="126">
        <f t="shared" si="0"/>
        <v>11454610</v>
      </c>
      <c r="D18" s="127">
        <f>D21+D20+D19</f>
        <v>11454610</v>
      </c>
      <c r="E18" s="127">
        <f>E21</f>
        <v>0</v>
      </c>
      <c r="F18" s="127">
        <f>F21</f>
        <v>0</v>
      </c>
      <c r="G18" s="132"/>
      <c r="H18" s="132"/>
      <c r="I18" s="132"/>
      <c r="J18" s="132"/>
      <c r="K18" s="132"/>
      <c r="L18" s="132"/>
      <c r="IK18" s="132"/>
      <c r="IL18" s="132"/>
      <c r="IM18" s="132"/>
      <c r="IN18" s="132"/>
      <c r="IO18" s="132"/>
      <c r="IP18" s="132"/>
      <c r="IQ18" s="132"/>
      <c r="IR18" s="132"/>
      <c r="IS18" s="132"/>
    </row>
    <row r="19" spans="1:253" s="133" customFormat="1" ht="20.25" customHeight="1" x14ac:dyDescent="0.25">
      <c r="A19" s="134">
        <v>14021900</v>
      </c>
      <c r="B19" s="135" t="s">
        <v>208</v>
      </c>
      <c r="C19" s="136">
        <f t="shared" si="0"/>
        <v>1924610</v>
      </c>
      <c r="D19" s="138">
        <v>1924610</v>
      </c>
      <c r="E19" s="127"/>
      <c r="F19" s="127"/>
      <c r="G19" s="132"/>
      <c r="H19" s="132"/>
      <c r="I19" s="132"/>
      <c r="J19" s="132"/>
      <c r="K19" s="132"/>
      <c r="L19" s="132"/>
      <c r="IK19" s="132"/>
      <c r="IL19" s="132"/>
      <c r="IM19" s="132"/>
      <c r="IN19" s="132"/>
      <c r="IO19" s="132"/>
      <c r="IP19" s="132"/>
      <c r="IQ19" s="132"/>
      <c r="IR19" s="132"/>
      <c r="IS19" s="132"/>
    </row>
    <row r="20" spans="1:253" s="133" customFormat="1" ht="20.25" customHeight="1" x14ac:dyDescent="0.25">
      <c r="A20" s="134">
        <v>14031900</v>
      </c>
      <c r="B20" s="135" t="s">
        <v>208</v>
      </c>
      <c r="C20" s="136">
        <f t="shared" si="0"/>
        <v>6730000</v>
      </c>
      <c r="D20" s="138">
        <v>6730000</v>
      </c>
      <c r="E20" s="127"/>
      <c r="F20" s="127"/>
      <c r="G20" s="132"/>
      <c r="H20" s="132"/>
      <c r="I20" s="132"/>
      <c r="J20" s="132"/>
      <c r="K20" s="132"/>
      <c r="L20" s="132"/>
      <c r="IK20" s="132"/>
      <c r="IL20" s="132"/>
      <c r="IM20" s="132"/>
      <c r="IN20" s="132"/>
      <c r="IO20" s="132"/>
      <c r="IP20" s="132"/>
      <c r="IQ20" s="132"/>
      <c r="IR20" s="132"/>
      <c r="IS20" s="132"/>
    </row>
    <row r="21" spans="1:253" s="133" customFormat="1" ht="36" customHeight="1" x14ac:dyDescent="0.25">
      <c r="A21" s="134">
        <v>14040000</v>
      </c>
      <c r="B21" s="135" t="s">
        <v>209</v>
      </c>
      <c r="C21" s="136">
        <f t="shared" si="0"/>
        <v>2800000</v>
      </c>
      <c r="D21" s="138">
        <v>2800000</v>
      </c>
      <c r="E21" s="138"/>
      <c r="F21" s="138"/>
      <c r="G21" s="132"/>
      <c r="H21" s="132"/>
      <c r="I21" s="132"/>
      <c r="J21" s="132"/>
      <c r="K21" s="132"/>
      <c r="L21" s="132"/>
      <c r="IK21" s="132"/>
      <c r="IL21" s="132"/>
      <c r="IM21" s="132"/>
      <c r="IN21" s="132"/>
      <c r="IO21" s="132"/>
      <c r="IP21" s="132"/>
      <c r="IQ21" s="132"/>
      <c r="IR21" s="132"/>
      <c r="IS21" s="132"/>
    </row>
    <row r="22" spans="1:253" s="133" customFormat="1" ht="20.25" customHeight="1" x14ac:dyDescent="0.25">
      <c r="A22" s="130">
        <v>18000000</v>
      </c>
      <c r="B22" s="131" t="s">
        <v>210</v>
      </c>
      <c r="C22" s="140">
        <f t="shared" si="0"/>
        <v>46763717</v>
      </c>
      <c r="D22" s="141">
        <f>D23+D34</f>
        <v>46763717</v>
      </c>
      <c r="E22" s="141"/>
      <c r="F22" s="141"/>
      <c r="G22" s="132"/>
      <c r="H22" s="132"/>
      <c r="I22" s="132"/>
      <c r="J22" s="132"/>
      <c r="K22" s="132"/>
      <c r="L22" s="132"/>
      <c r="IK22" s="132"/>
      <c r="IL22" s="132"/>
      <c r="IM22" s="132"/>
      <c r="IN22" s="132"/>
      <c r="IO22" s="132"/>
      <c r="IP22" s="132"/>
      <c r="IQ22" s="132"/>
      <c r="IR22" s="132"/>
      <c r="IS22" s="132"/>
    </row>
    <row r="23" spans="1:253" s="133" customFormat="1" ht="20.25" customHeight="1" x14ac:dyDescent="0.25">
      <c r="A23" s="130">
        <v>18010000</v>
      </c>
      <c r="B23" s="131" t="s">
        <v>211</v>
      </c>
      <c r="C23" s="140">
        <f t="shared" si="0"/>
        <v>32162483</v>
      </c>
      <c r="D23" s="141">
        <f>D24+D25+D26+D27+D28+D29+D30+D31+D32+D33</f>
        <v>32162483</v>
      </c>
      <c r="E23" s="141"/>
      <c r="F23" s="141"/>
      <c r="G23" s="132"/>
      <c r="H23" s="132"/>
      <c r="I23" s="132"/>
      <c r="J23" s="132"/>
      <c r="K23" s="132"/>
      <c r="L23" s="132"/>
      <c r="IK23" s="132"/>
      <c r="IL23" s="132"/>
      <c r="IM23" s="132"/>
      <c r="IN23" s="132"/>
      <c r="IO23" s="132"/>
      <c r="IP23" s="132"/>
      <c r="IQ23" s="132"/>
      <c r="IR23" s="132"/>
      <c r="IS23" s="132"/>
    </row>
    <row r="24" spans="1:253" s="133" customFormat="1" ht="33.6" customHeight="1" x14ac:dyDescent="0.25">
      <c r="A24" s="134">
        <v>18010100</v>
      </c>
      <c r="B24" s="135" t="s">
        <v>212</v>
      </c>
      <c r="C24" s="136">
        <f t="shared" si="0"/>
        <v>10200</v>
      </c>
      <c r="D24" s="138">
        <f>'[3]Лист1 (испр)'!$F$15*1000</f>
        <v>10200</v>
      </c>
      <c r="E24" s="138"/>
      <c r="F24" s="138"/>
      <c r="G24" s="132"/>
      <c r="H24" s="132"/>
      <c r="I24" s="132"/>
      <c r="J24" s="132"/>
      <c r="K24" s="132"/>
      <c r="L24" s="132"/>
      <c r="IK24" s="132"/>
      <c r="IL24" s="132"/>
      <c r="IM24" s="132"/>
      <c r="IN24" s="132"/>
      <c r="IO24" s="132"/>
      <c r="IP24" s="132"/>
      <c r="IQ24" s="132"/>
      <c r="IR24" s="132"/>
      <c r="IS24" s="132"/>
    </row>
    <row r="25" spans="1:253" s="133" customFormat="1" ht="37.9" customHeight="1" x14ac:dyDescent="0.25">
      <c r="A25" s="134">
        <v>18010200</v>
      </c>
      <c r="B25" s="135" t="s">
        <v>213</v>
      </c>
      <c r="C25" s="136">
        <f t="shared" si="0"/>
        <v>493700</v>
      </c>
      <c r="D25" s="138">
        <f>'[3]Лист1 (испр)'!$F$16*1000</f>
        <v>493700</v>
      </c>
      <c r="E25" s="138"/>
      <c r="F25" s="138"/>
      <c r="G25" s="132"/>
      <c r="H25" s="132"/>
      <c r="I25" s="132"/>
      <c r="J25" s="132"/>
      <c r="K25" s="132"/>
      <c r="L25" s="132"/>
      <c r="IK25" s="132"/>
      <c r="IL25" s="132"/>
      <c r="IM25" s="132"/>
      <c r="IN25" s="132"/>
      <c r="IO25" s="132"/>
      <c r="IP25" s="132"/>
      <c r="IQ25" s="132"/>
      <c r="IR25" s="132"/>
      <c r="IS25" s="132"/>
    </row>
    <row r="26" spans="1:253" s="133" customFormat="1" ht="37.9" customHeight="1" x14ac:dyDescent="0.25">
      <c r="A26" s="134">
        <v>18010300</v>
      </c>
      <c r="B26" s="135" t="s">
        <v>214</v>
      </c>
      <c r="C26" s="136">
        <f t="shared" si="0"/>
        <v>1251000</v>
      </c>
      <c r="D26" s="138">
        <f>'[3]Лист1 (испр)'!$F$17*1000</f>
        <v>1251000</v>
      </c>
      <c r="E26" s="138"/>
      <c r="F26" s="138"/>
      <c r="G26" s="132"/>
      <c r="H26" s="132"/>
      <c r="I26" s="132"/>
      <c r="J26" s="132"/>
      <c r="K26" s="132"/>
      <c r="L26" s="132"/>
      <c r="IK26" s="132"/>
      <c r="IL26" s="132"/>
      <c r="IM26" s="132"/>
      <c r="IN26" s="132"/>
      <c r="IO26" s="132"/>
      <c r="IP26" s="132"/>
      <c r="IQ26" s="132"/>
      <c r="IR26" s="132"/>
      <c r="IS26" s="132"/>
    </row>
    <row r="27" spans="1:253" s="133" customFormat="1" ht="40.5" customHeight="1" x14ac:dyDescent="0.25">
      <c r="A27" s="134">
        <v>18010400</v>
      </c>
      <c r="B27" s="135" t="s">
        <v>212</v>
      </c>
      <c r="C27" s="136">
        <f t="shared" si="0"/>
        <v>938200</v>
      </c>
      <c r="D27" s="138">
        <f>'[3]Лист1 (испр)'!$F$18*1000</f>
        <v>938200</v>
      </c>
      <c r="E27" s="138"/>
      <c r="F27" s="138"/>
      <c r="G27" s="132"/>
      <c r="H27" s="132"/>
      <c r="I27" s="132"/>
      <c r="J27" s="132"/>
      <c r="K27" s="132"/>
      <c r="L27" s="132"/>
      <c r="IK27" s="132"/>
      <c r="IL27" s="132"/>
      <c r="IM27" s="132"/>
      <c r="IN27" s="132"/>
      <c r="IO27" s="132"/>
      <c r="IP27" s="132"/>
      <c r="IQ27" s="132"/>
      <c r="IR27" s="132"/>
      <c r="IS27" s="132"/>
    </row>
    <row r="28" spans="1:253" s="133" customFormat="1" ht="19.149999999999999" customHeight="1" x14ac:dyDescent="0.25">
      <c r="A28" s="134">
        <v>18010500</v>
      </c>
      <c r="B28" s="135" t="s">
        <v>215</v>
      </c>
      <c r="C28" s="136">
        <f t="shared" si="0"/>
        <v>20118400</v>
      </c>
      <c r="D28" s="138">
        <f>'[3]Лист1 (испр)'!F19*1000</f>
        <v>20118400</v>
      </c>
      <c r="E28" s="138"/>
      <c r="F28" s="138"/>
      <c r="G28" s="132"/>
      <c r="H28" s="132"/>
      <c r="I28" s="132"/>
      <c r="J28" s="132"/>
      <c r="K28" s="132"/>
      <c r="L28" s="132"/>
      <c r="IK28" s="132"/>
      <c r="IL28" s="132"/>
      <c r="IM28" s="132"/>
      <c r="IN28" s="132"/>
      <c r="IO28" s="132"/>
      <c r="IP28" s="132"/>
      <c r="IQ28" s="132"/>
      <c r="IR28" s="132"/>
      <c r="IS28" s="132"/>
    </row>
    <row r="29" spans="1:253" s="133" customFormat="1" ht="20.25" customHeight="1" x14ac:dyDescent="0.25">
      <c r="A29" s="134">
        <v>18010600</v>
      </c>
      <c r="B29" s="135" t="s">
        <v>216</v>
      </c>
      <c r="C29" s="136">
        <f t="shared" si="0"/>
        <v>7214800</v>
      </c>
      <c r="D29" s="138">
        <f>'[3]Лист1 (испр)'!F20*1000</f>
        <v>7214800</v>
      </c>
      <c r="E29" s="138"/>
      <c r="F29" s="138"/>
      <c r="G29" s="132"/>
      <c r="H29" s="132"/>
      <c r="I29" s="132"/>
      <c r="J29" s="132"/>
      <c r="K29" s="132"/>
      <c r="L29" s="132"/>
      <c r="IK29" s="132"/>
      <c r="IL29" s="132"/>
      <c r="IM29" s="132"/>
      <c r="IN29" s="132"/>
      <c r="IO29" s="132"/>
      <c r="IP29" s="132"/>
      <c r="IQ29" s="132"/>
      <c r="IR29" s="132"/>
      <c r="IS29" s="132"/>
    </row>
    <row r="30" spans="1:253" s="133" customFormat="1" ht="20.25" customHeight="1" x14ac:dyDescent="0.25">
      <c r="A30" s="134">
        <v>18010700</v>
      </c>
      <c r="B30" s="135" t="s">
        <v>217</v>
      </c>
      <c r="C30" s="136">
        <f t="shared" si="0"/>
        <v>594000</v>
      </c>
      <c r="D30" s="138">
        <f>'[3]Лист1 (испр)'!F21*1000</f>
        <v>594000</v>
      </c>
      <c r="E30" s="138"/>
      <c r="F30" s="138"/>
      <c r="G30" s="132"/>
      <c r="H30" s="132"/>
      <c r="I30" s="132"/>
      <c r="J30" s="132"/>
      <c r="K30" s="132"/>
      <c r="L30" s="132"/>
      <c r="IK30" s="132"/>
      <c r="IL30" s="132"/>
      <c r="IM30" s="132"/>
      <c r="IN30" s="132"/>
      <c r="IO30" s="132"/>
      <c r="IP30" s="132"/>
      <c r="IQ30" s="132"/>
      <c r="IR30" s="132"/>
      <c r="IS30" s="132"/>
    </row>
    <row r="31" spans="1:253" s="133" customFormat="1" ht="20.25" customHeight="1" x14ac:dyDescent="0.25">
      <c r="A31" s="134">
        <v>18010900</v>
      </c>
      <c r="B31" s="135" t="s">
        <v>218</v>
      </c>
      <c r="C31" s="136">
        <f t="shared" si="0"/>
        <v>1452600</v>
      </c>
      <c r="D31" s="138">
        <f>'[3]Лист1 (испр)'!F22*1000</f>
        <v>1452600</v>
      </c>
      <c r="E31" s="138"/>
      <c r="F31" s="138"/>
      <c r="G31" s="132"/>
      <c r="H31" s="132"/>
      <c r="I31" s="132"/>
      <c r="J31" s="132"/>
      <c r="K31" s="132"/>
      <c r="L31" s="132"/>
      <c r="IK31" s="132"/>
      <c r="IL31" s="132"/>
      <c r="IM31" s="132"/>
      <c r="IN31" s="132"/>
      <c r="IO31" s="132"/>
      <c r="IP31" s="132"/>
      <c r="IQ31" s="132"/>
      <c r="IR31" s="132"/>
      <c r="IS31" s="132"/>
    </row>
    <row r="32" spans="1:253" s="133" customFormat="1" ht="20.25" customHeight="1" x14ac:dyDescent="0.25">
      <c r="A32" s="134">
        <v>18011000</v>
      </c>
      <c r="B32" s="135" t="s">
        <v>219</v>
      </c>
      <c r="C32" s="136">
        <f t="shared" si="0"/>
        <v>52083</v>
      </c>
      <c r="D32" s="138">
        <v>52083</v>
      </c>
      <c r="E32" s="138"/>
      <c r="F32" s="138"/>
      <c r="G32" s="132"/>
      <c r="H32" s="132"/>
      <c r="I32" s="132"/>
      <c r="J32" s="132"/>
      <c r="K32" s="132"/>
      <c r="L32" s="132"/>
      <c r="IK32" s="132"/>
      <c r="IL32" s="132"/>
      <c r="IM32" s="132"/>
      <c r="IN32" s="132"/>
      <c r="IO32" s="132"/>
      <c r="IP32" s="132"/>
      <c r="IQ32" s="132"/>
      <c r="IR32" s="132"/>
      <c r="IS32" s="132"/>
    </row>
    <row r="33" spans="1:253" s="133" customFormat="1" ht="20.25" customHeight="1" x14ac:dyDescent="0.25">
      <c r="A33" s="134">
        <v>18011100</v>
      </c>
      <c r="B33" s="135" t="s">
        <v>220</v>
      </c>
      <c r="C33" s="136">
        <f t="shared" si="0"/>
        <v>37500</v>
      </c>
      <c r="D33" s="138">
        <v>37500</v>
      </c>
      <c r="E33" s="138"/>
      <c r="F33" s="138"/>
      <c r="G33" s="132"/>
      <c r="H33" s="132"/>
      <c r="I33" s="132"/>
      <c r="J33" s="132"/>
      <c r="K33" s="132"/>
      <c r="L33" s="132"/>
      <c r="IK33" s="132"/>
      <c r="IL33" s="132"/>
      <c r="IM33" s="132"/>
      <c r="IN33" s="132"/>
      <c r="IO33" s="132"/>
      <c r="IP33" s="132"/>
      <c r="IQ33" s="132"/>
      <c r="IR33" s="132"/>
      <c r="IS33" s="132"/>
    </row>
    <row r="34" spans="1:253" s="133" customFormat="1" ht="20.25" customHeight="1" x14ac:dyDescent="0.25">
      <c r="A34" s="130">
        <v>18050000</v>
      </c>
      <c r="B34" s="131" t="s">
        <v>221</v>
      </c>
      <c r="C34" s="140">
        <f t="shared" si="0"/>
        <v>14601233.999999998</v>
      </c>
      <c r="D34" s="141">
        <f>D35+D36+D37</f>
        <v>14601233.999999998</v>
      </c>
      <c r="E34" s="141">
        <f>E35+E36+E37</f>
        <v>0</v>
      </c>
      <c r="F34" s="141">
        <f>F35+F36+F37</f>
        <v>0</v>
      </c>
      <c r="G34" s="132"/>
      <c r="H34" s="132"/>
      <c r="I34" s="132"/>
      <c r="J34" s="132"/>
      <c r="K34" s="132"/>
      <c r="L34" s="132"/>
      <c r="IK34" s="132"/>
      <c r="IL34" s="132"/>
      <c r="IM34" s="132"/>
      <c r="IN34" s="132"/>
      <c r="IO34" s="132"/>
      <c r="IP34" s="132"/>
      <c r="IQ34" s="132"/>
      <c r="IR34" s="132"/>
      <c r="IS34" s="132"/>
    </row>
    <row r="35" spans="1:253" s="133" customFormat="1" ht="20.25" customHeight="1" x14ac:dyDescent="0.25">
      <c r="A35" s="134">
        <v>18050300</v>
      </c>
      <c r="B35" s="135" t="s">
        <v>222</v>
      </c>
      <c r="C35" s="136">
        <f t="shared" si="0"/>
        <v>2967300</v>
      </c>
      <c r="D35" s="138">
        <f>'[3]Лист1 (испр)'!F25*1000+84000</f>
        <v>2967300</v>
      </c>
      <c r="E35" s="138"/>
      <c r="F35" s="138"/>
      <c r="G35" s="132"/>
      <c r="H35" s="132"/>
      <c r="I35" s="132"/>
      <c r="J35" s="132"/>
      <c r="K35" s="132"/>
      <c r="L35" s="132"/>
      <c r="IK35" s="132"/>
      <c r="IL35" s="132"/>
      <c r="IM35" s="132"/>
      <c r="IN35" s="132"/>
      <c r="IO35" s="132"/>
      <c r="IP35" s="132"/>
      <c r="IQ35" s="132"/>
      <c r="IR35" s="132"/>
      <c r="IS35" s="132"/>
    </row>
    <row r="36" spans="1:253" s="133" customFormat="1" ht="20.25" customHeight="1" x14ac:dyDescent="0.25">
      <c r="A36" s="134">
        <v>18050400</v>
      </c>
      <c r="B36" s="135" t="s">
        <v>223</v>
      </c>
      <c r="C36" s="136">
        <f t="shared" si="0"/>
        <v>10385949.999999998</v>
      </c>
      <c r="D36" s="138">
        <f>'[3]Лист1 (испр)'!F26*1000</f>
        <v>10385949.999999998</v>
      </c>
      <c r="E36" s="138"/>
      <c r="F36" s="138"/>
      <c r="G36" s="132"/>
      <c r="H36" s="132"/>
      <c r="I36" s="132"/>
      <c r="J36" s="132"/>
      <c r="K36" s="132"/>
      <c r="L36" s="132"/>
      <c r="IK36" s="132"/>
      <c r="IL36" s="132"/>
      <c r="IM36" s="132"/>
      <c r="IN36" s="132"/>
      <c r="IO36" s="132"/>
      <c r="IP36" s="132"/>
      <c r="IQ36" s="132"/>
      <c r="IR36" s="132"/>
      <c r="IS36" s="132"/>
    </row>
    <row r="37" spans="1:253" s="133" customFormat="1" ht="60" customHeight="1" x14ac:dyDescent="0.25">
      <c r="A37" s="134">
        <v>18050500</v>
      </c>
      <c r="B37" s="135" t="s">
        <v>224</v>
      </c>
      <c r="C37" s="136">
        <f t="shared" si="0"/>
        <v>1247984</v>
      </c>
      <c r="D37" s="138">
        <v>1247984</v>
      </c>
      <c r="E37" s="138"/>
      <c r="F37" s="138"/>
      <c r="G37" s="132"/>
      <c r="H37" s="132"/>
      <c r="I37" s="132"/>
      <c r="J37" s="132"/>
      <c r="K37" s="132"/>
      <c r="L37" s="132"/>
      <c r="IK37" s="132"/>
      <c r="IL37" s="132"/>
      <c r="IM37" s="132"/>
      <c r="IN37" s="132"/>
      <c r="IO37" s="132"/>
      <c r="IP37" s="132"/>
      <c r="IQ37" s="132"/>
      <c r="IR37" s="132"/>
      <c r="IS37" s="132"/>
    </row>
    <row r="38" spans="1:253" s="133" customFormat="1" ht="20.25" customHeight="1" x14ac:dyDescent="0.25">
      <c r="A38" s="130">
        <v>19000000</v>
      </c>
      <c r="B38" s="131" t="s">
        <v>225</v>
      </c>
      <c r="C38" s="140">
        <f t="shared" si="0"/>
        <v>320900</v>
      </c>
      <c r="D38" s="141">
        <f>D39+D40+D41</f>
        <v>0</v>
      </c>
      <c r="E38" s="141">
        <f>E39+E40+E41</f>
        <v>320900</v>
      </c>
      <c r="F38" s="141">
        <f>F39+F40+F41</f>
        <v>0</v>
      </c>
      <c r="G38" s="132"/>
      <c r="H38" s="132"/>
      <c r="I38" s="132"/>
      <c r="J38" s="132"/>
      <c r="K38" s="132"/>
      <c r="L38" s="132"/>
      <c r="IK38" s="132"/>
      <c r="IL38" s="132"/>
      <c r="IM38" s="132"/>
      <c r="IN38" s="132"/>
      <c r="IO38" s="132"/>
      <c r="IP38" s="132"/>
      <c r="IQ38" s="132"/>
      <c r="IR38" s="132"/>
      <c r="IS38" s="132"/>
    </row>
    <row r="39" spans="1:253" s="133" customFormat="1" ht="51" customHeight="1" x14ac:dyDescent="0.25">
      <c r="A39" s="134">
        <v>19010100</v>
      </c>
      <c r="B39" s="142" t="s">
        <v>226</v>
      </c>
      <c r="C39" s="136">
        <f t="shared" si="0"/>
        <v>54750</v>
      </c>
      <c r="D39" s="138"/>
      <c r="E39" s="138">
        <f>'[3]Лист1 (испр)'!F46*1000</f>
        <v>54750</v>
      </c>
      <c r="F39" s="138"/>
      <c r="G39" s="132"/>
      <c r="H39" s="132"/>
      <c r="I39" s="132"/>
      <c r="J39" s="132"/>
      <c r="K39" s="132"/>
      <c r="L39" s="132"/>
      <c r="IK39" s="132"/>
      <c r="IL39" s="132"/>
      <c r="IM39" s="132"/>
      <c r="IN39" s="132"/>
      <c r="IO39" s="132"/>
      <c r="IP39" s="132"/>
      <c r="IQ39" s="132"/>
      <c r="IR39" s="132"/>
      <c r="IS39" s="132"/>
    </row>
    <row r="40" spans="1:253" s="133" customFormat="1" ht="25.15" customHeight="1" x14ac:dyDescent="0.25">
      <c r="A40" s="134">
        <v>19010200</v>
      </c>
      <c r="B40" s="135" t="s">
        <v>258</v>
      </c>
      <c r="C40" s="136">
        <f t="shared" si="0"/>
        <v>33500</v>
      </c>
      <c r="D40" s="138"/>
      <c r="E40" s="138">
        <f>'[3]Лист1 (испр)'!F47*1000</f>
        <v>33500</v>
      </c>
      <c r="F40" s="138"/>
      <c r="G40" s="132"/>
      <c r="H40" s="132"/>
      <c r="I40" s="132"/>
      <c r="J40" s="132"/>
      <c r="K40" s="132"/>
      <c r="L40" s="132"/>
      <c r="IK40" s="132"/>
      <c r="IL40" s="132"/>
      <c r="IM40" s="132"/>
      <c r="IN40" s="132"/>
      <c r="IO40" s="132"/>
      <c r="IP40" s="132"/>
      <c r="IQ40" s="132"/>
      <c r="IR40" s="132"/>
      <c r="IS40" s="132"/>
    </row>
    <row r="41" spans="1:253" s="133" customFormat="1" ht="37.5" customHeight="1" x14ac:dyDescent="0.25">
      <c r="A41" s="134">
        <v>19010300</v>
      </c>
      <c r="B41" s="135" t="s">
        <v>227</v>
      </c>
      <c r="C41" s="136">
        <f t="shared" si="0"/>
        <v>232650</v>
      </c>
      <c r="D41" s="138"/>
      <c r="E41" s="138">
        <f>'[3]Лист1 (испр)'!F48*1000</f>
        <v>232650</v>
      </c>
      <c r="F41" s="138"/>
      <c r="G41" s="132"/>
      <c r="H41" s="132"/>
      <c r="I41" s="132"/>
      <c r="J41" s="132"/>
      <c r="K41" s="132"/>
      <c r="L41" s="132"/>
      <c r="IK41" s="132"/>
      <c r="IL41" s="132"/>
      <c r="IM41" s="132"/>
      <c r="IN41" s="132"/>
      <c r="IO41" s="132"/>
      <c r="IP41" s="132"/>
      <c r="IQ41" s="132"/>
      <c r="IR41" s="132"/>
      <c r="IS41" s="132"/>
    </row>
    <row r="42" spans="1:253" s="145" customFormat="1" ht="20.25" customHeight="1" x14ac:dyDescent="0.2">
      <c r="A42" s="109">
        <v>20000000</v>
      </c>
      <c r="B42" s="111" t="s">
        <v>228</v>
      </c>
      <c r="C42" s="126">
        <f t="shared" si="0"/>
        <v>5052963</v>
      </c>
      <c r="D42" s="143">
        <f>D43+D48+D58+D56</f>
        <v>2370921</v>
      </c>
      <c r="E42" s="143">
        <f>E43+E48+E58</f>
        <v>2682042</v>
      </c>
      <c r="F42" s="143">
        <f>F43+F48+F58</f>
        <v>0</v>
      </c>
      <c r="G42" s="144"/>
      <c r="H42" s="144"/>
      <c r="I42" s="144"/>
      <c r="J42" s="144"/>
      <c r="K42" s="144"/>
      <c r="L42" s="144"/>
      <c r="IK42" s="144"/>
      <c r="IL42" s="144"/>
      <c r="IM42" s="144"/>
      <c r="IN42" s="144"/>
      <c r="IO42" s="144"/>
      <c r="IP42" s="144"/>
      <c r="IQ42" s="144"/>
      <c r="IR42" s="144"/>
      <c r="IS42" s="144"/>
    </row>
    <row r="43" spans="1:253" s="133" customFormat="1" ht="28.5" customHeight="1" x14ac:dyDescent="0.25">
      <c r="A43" s="130">
        <v>21000000</v>
      </c>
      <c r="B43" s="131" t="s">
        <v>229</v>
      </c>
      <c r="C43" s="140">
        <f t="shared" si="0"/>
        <v>105227</v>
      </c>
      <c r="D43" s="141">
        <f>D44+D45</f>
        <v>105227</v>
      </c>
      <c r="E43" s="141">
        <f>E45</f>
        <v>0</v>
      </c>
      <c r="F43" s="141">
        <f>F45</f>
        <v>0</v>
      </c>
      <c r="G43" s="132"/>
      <c r="H43" s="132"/>
      <c r="I43" s="132"/>
      <c r="J43" s="132"/>
      <c r="K43" s="132"/>
      <c r="L43" s="132"/>
      <c r="IK43" s="132"/>
      <c r="IL43" s="132"/>
      <c r="IM43" s="132"/>
      <c r="IN43" s="132"/>
      <c r="IO43" s="132"/>
      <c r="IP43" s="132"/>
      <c r="IQ43" s="132"/>
      <c r="IR43" s="132"/>
      <c r="IS43" s="132"/>
    </row>
    <row r="44" spans="1:253" s="133" customFormat="1" ht="36" customHeight="1" x14ac:dyDescent="0.25">
      <c r="A44" s="134">
        <v>21010300</v>
      </c>
      <c r="B44" s="135" t="s">
        <v>230</v>
      </c>
      <c r="C44" s="136">
        <f t="shared" si="0"/>
        <v>510</v>
      </c>
      <c r="D44" s="138">
        <v>510</v>
      </c>
      <c r="E44" s="141"/>
      <c r="F44" s="141"/>
      <c r="G44" s="132"/>
      <c r="H44" s="132"/>
      <c r="I44" s="132"/>
      <c r="J44" s="132"/>
      <c r="K44" s="132"/>
      <c r="L44" s="132"/>
      <c r="IK44" s="132"/>
      <c r="IL44" s="132"/>
      <c r="IM44" s="132"/>
      <c r="IN44" s="132"/>
      <c r="IO44" s="132"/>
      <c r="IP44" s="132"/>
      <c r="IQ44" s="132"/>
      <c r="IR44" s="132"/>
      <c r="IS44" s="132"/>
    </row>
    <row r="45" spans="1:253" s="133" customFormat="1" ht="16.899999999999999" customHeight="1" x14ac:dyDescent="0.25">
      <c r="A45" s="130">
        <v>21080000</v>
      </c>
      <c r="B45" s="131" t="s">
        <v>231</v>
      </c>
      <c r="C45" s="126">
        <f t="shared" si="0"/>
        <v>104717</v>
      </c>
      <c r="D45" s="141">
        <f>D46+D47</f>
        <v>104717</v>
      </c>
      <c r="E45" s="141">
        <f>E46+E47</f>
        <v>0</v>
      </c>
      <c r="F45" s="141">
        <f>F46+F47</f>
        <v>0</v>
      </c>
      <c r="G45" s="132"/>
      <c r="H45" s="132"/>
      <c r="I45" s="132"/>
      <c r="J45" s="132"/>
      <c r="K45" s="132"/>
      <c r="L45" s="132"/>
      <c r="IK45" s="132"/>
      <c r="IL45" s="132"/>
      <c r="IM45" s="132"/>
      <c r="IN45" s="132"/>
      <c r="IO45" s="132"/>
      <c r="IP45" s="132"/>
      <c r="IQ45" s="132"/>
      <c r="IR45" s="132"/>
      <c r="IS45" s="132"/>
    </row>
    <row r="46" spans="1:253" s="133" customFormat="1" ht="17.45" customHeight="1" x14ac:dyDescent="0.25">
      <c r="A46" s="134">
        <v>21081100</v>
      </c>
      <c r="B46" s="135" t="s">
        <v>232</v>
      </c>
      <c r="C46" s="136">
        <f t="shared" si="0"/>
        <v>40500</v>
      </c>
      <c r="D46" s="138">
        <v>40500</v>
      </c>
      <c r="E46" s="141"/>
      <c r="F46" s="141"/>
      <c r="G46" s="132"/>
      <c r="H46" s="132"/>
      <c r="I46" s="132"/>
      <c r="J46" s="132"/>
      <c r="K46" s="132"/>
      <c r="L46" s="132"/>
      <c r="IK46" s="132"/>
      <c r="IL46" s="132"/>
      <c r="IM46" s="132"/>
      <c r="IN46" s="132"/>
      <c r="IO46" s="132"/>
      <c r="IP46" s="132"/>
      <c r="IQ46" s="132"/>
      <c r="IR46" s="132"/>
      <c r="IS46" s="132"/>
    </row>
    <row r="47" spans="1:253" s="133" customFormat="1" ht="40.5" customHeight="1" x14ac:dyDescent="0.25">
      <c r="A47" s="134">
        <v>21081500</v>
      </c>
      <c r="B47" s="135" t="s">
        <v>233</v>
      </c>
      <c r="C47" s="136">
        <f t="shared" si="0"/>
        <v>64217</v>
      </c>
      <c r="D47" s="138">
        <v>64217</v>
      </c>
      <c r="E47" s="138"/>
      <c r="F47" s="138"/>
      <c r="G47" s="132"/>
      <c r="H47" s="132"/>
      <c r="I47" s="132"/>
      <c r="J47" s="132"/>
      <c r="K47" s="132"/>
      <c r="L47" s="132"/>
      <c r="IK47" s="132"/>
      <c r="IL47" s="132"/>
      <c r="IM47" s="132"/>
      <c r="IN47" s="132"/>
      <c r="IO47" s="132"/>
      <c r="IP47" s="132"/>
      <c r="IQ47" s="132"/>
      <c r="IR47" s="132"/>
      <c r="IS47" s="132"/>
    </row>
    <row r="48" spans="1:253" s="133" customFormat="1" ht="48.75" customHeight="1" x14ac:dyDescent="0.25">
      <c r="A48" s="109">
        <v>22000000</v>
      </c>
      <c r="B48" s="146" t="s">
        <v>234</v>
      </c>
      <c r="C48" s="126">
        <f t="shared" si="0"/>
        <v>1669994</v>
      </c>
      <c r="D48" s="127">
        <f>D49+D51+D53</f>
        <v>1669994</v>
      </c>
      <c r="E48" s="127"/>
      <c r="F48" s="127"/>
      <c r="G48" s="132"/>
      <c r="H48" s="132"/>
      <c r="I48" s="132"/>
      <c r="J48" s="132"/>
      <c r="K48" s="132"/>
      <c r="L48" s="132"/>
      <c r="IK48" s="132"/>
      <c r="IL48" s="132"/>
      <c r="IM48" s="132"/>
      <c r="IN48" s="132"/>
      <c r="IO48" s="132"/>
      <c r="IP48" s="132"/>
      <c r="IQ48" s="132"/>
      <c r="IR48" s="132"/>
      <c r="IS48" s="132"/>
    </row>
    <row r="49" spans="1:253" s="133" customFormat="1" ht="13.15" customHeight="1" x14ac:dyDescent="0.25">
      <c r="A49" s="130">
        <v>22010000</v>
      </c>
      <c r="B49" s="131" t="s">
        <v>235</v>
      </c>
      <c r="C49" s="140">
        <f t="shared" si="0"/>
        <v>1312558</v>
      </c>
      <c r="D49" s="141">
        <f>D50</f>
        <v>1312558</v>
      </c>
      <c r="E49" s="141"/>
      <c r="F49" s="141"/>
      <c r="G49" s="132"/>
      <c r="H49" s="132"/>
      <c r="I49" s="132"/>
      <c r="J49" s="132"/>
      <c r="K49" s="132"/>
      <c r="L49" s="132"/>
      <c r="IK49" s="132"/>
      <c r="IL49" s="132"/>
      <c r="IM49" s="132"/>
      <c r="IN49" s="132"/>
      <c r="IO49" s="132"/>
      <c r="IP49" s="132"/>
      <c r="IQ49" s="132"/>
      <c r="IR49" s="132"/>
      <c r="IS49" s="132"/>
    </row>
    <row r="50" spans="1:253" s="133" customFormat="1" ht="16.149999999999999" customHeight="1" x14ac:dyDescent="0.25">
      <c r="A50" s="134">
        <v>22012500</v>
      </c>
      <c r="B50" s="135" t="s">
        <v>236</v>
      </c>
      <c r="C50" s="136">
        <f t="shared" si="0"/>
        <v>1312558</v>
      </c>
      <c r="D50" s="138">
        <v>1312558</v>
      </c>
      <c r="E50" s="138"/>
      <c r="F50" s="138"/>
      <c r="G50" s="132"/>
      <c r="H50" s="132"/>
      <c r="I50" s="132"/>
      <c r="J50" s="132"/>
      <c r="K50" s="132"/>
      <c r="L50" s="132"/>
      <c r="IK50" s="132"/>
      <c r="IL50" s="132"/>
      <c r="IM50" s="132"/>
      <c r="IN50" s="132"/>
      <c r="IO50" s="132"/>
      <c r="IP50" s="132"/>
      <c r="IQ50" s="132"/>
      <c r="IR50" s="132"/>
      <c r="IS50" s="132"/>
    </row>
    <row r="51" spans="1:253" s="133" customFormat="1" ht="36.75" customHeight="1" x14ac:dyDescent="0.25">
      <c r="A51" s="130">
        <v>22080000</v>
      </c>
      <c r="B51" s="147" t="s">
        <v>237</v>
      </c>
      <c r="C51" s="126">
        <f t="shared" si="0"/>
        <v>189300</v>
      </c>
      <c r="D51" s="127">
        <f>D52</f>
        <v>189300</v>
      </c>
      <c r="E51" s="138"/>
      <c r="F51" s="138"/>
      <c r="G51" s="132"/>
      <c r="H51" s="132"/>
      <c r="I51" s="132"/>
      <c r="J51" s="132"/>
      <c r="K51" s="132"/>
      <c r="L51" s="132"/>
      <c r="IK51" s="132"/>
      <c r="IL51" s="132"/>
      <c r="IM51" s="132"/>
      <c r="IN51" s="132"/>
      <c r="IO51" s="132"/>
      <c r="IP51" s="132"/>
      <c r="IQ51" s="132"/>
      <c r="IR51" s="132"/>
      <c r="IS51" s="132"/>
    </row>
    <row r="52" spans="1:253" s="133" customFormat="1" ht="36" customHeight="1" x14ac:dyDescent="0.25">
      <c r="A52" s="134">
        <v>22080400</v>
      </c>
      <c r="B52" s="135" t="s">
        <v>238</v>
      </c>
      <c r="C52" s="136">
        <f t="shared" si="0"/>
        <v>189300</v>
      </c>
      <c r="D52" s="138">
        <f>'[3]Лист1 (испр)'!$F$34*1000</f>
        <v>189300</v>
      </c>
      <c r="E52" s="138"/>
      <c r="F52" s="138"/>
      <c r="G52" s="132"/>
      <c r="H52" s="132"/>
      <c r="I52" s="132"/>
      <c r="J52" s="132"/>
      <c r="K52" s="132"/>
      <c r="L52" s="132"/>
      <c r="IK52" s="132"/>
      <c r="IL52" s="132"/>
      <c r="IM52" s="132"/>
      <c r="IN52" s="132"/>
      <c r="IO52" s="132"/>
      <c r="IP52" s="132"/>
      <c r="IQ52" s="132"/>
      <c r="IR52" s="132"/>
      <c r="IS52" s="132"/>
    </row>
    <row r="53" spans="1:253" s="133" customFormat="1" ht="16.149999999999999" customHeight="1" x14ac:dyDescent="0.25">
      <c r="A53" s="130">
        <v>22090000</v>
      </c>
      <c r="B53" s="147" t="s">
        <v>239</v>
      </c>
      <c r="C53" s="140">
        <f t="shared" si="0"/>
        <v>168136</v>
      </c>
      <c r="D53" s="141">
        <f>D54+D55</f>
        <v>168136</v>
      </c>
      <c r="E53" s="141"/>
      <c r="F53" s="141"/>
      <c r="G53" s="132"/>
      <c r="H53" s="132"/>
      <c r="I53" s="132"/>
      <c r="J53" s="132"/>
      <c r="K53" s="132"/>
      <c r="L53" s="132"/>
      <c r="IK53" s="132"/>
      <c r="IL53" s="132"/>
      <c r="IM53" s="132"/>
      <c r="IN53" s="132"/>
      <c r="IO53" s="132"/>
      <c r="IP53" s="132"/>
      <c r="IQ53" s="132"/>
      <c r="IR53" s="132"/>
      <c r="IS53" s="132"/>
    </row>
    <row r="54" spans="1:253" s="133" customFormat="1" ht="34.15" customHeight="1" x14ac:dyDescent="0.25">
      <c r="A54" s="134">
        <v>22090100</v>
      </c>
      <c r="B54" s="135" t="s">
        <v>240</v>
      </c>
      <c r="C54" s="136">
        <f t="shared" si="0"/>
        <v>116536</v>
      </c>
      <c r="D54" s="138">
        <v>116536</v>
      </c>
      <c r="E54" s="138"/>
      <c r="F54" s="138"/>
      <c r="G54" s="132"/>
      <c r="H54" s="132"/>
      <c r="I54" s="132"/>
      <c r="J54" s="132"/>
      <c r="K54" s="132"/>
      <c r="L54" s="132"/>
      <c r="IK54" s="132"/>
      <c r="IL54" s="132"/>
      <c r="IM54" s="132"/>
      <c r="IN54" s="132"/>
      <c r="IO54" s="132"/>
      <c r="IP54" s="132"/>
      <c r="IQ54" s="132"/>
      <c r="IR54" s="132"/>
      <c r="IS54" s="132"/>
    </row>
    <row r="55" spans="1:253" s="133" customFormat="1" ht="36.6" customHeight="1" x14ac:dyDescent="0.25">
      <c r="A55" s="134">
        <v>22090400</v>
      </c>
      <c r="B55" s="135" t="s">
        <v>259</v>
      </c>
      <c r="C55" s="136">
        <f t="shared" si="0"/>
        <v>51600</v>
      </c>
      <c r="D55" s="138">
        <v>51600</v>
      </c>
      <c r="E55" s="138"/>
      <c r="F55" s="138"/>
      <c r="G55" s="132"/>
      <c r="H55" s="132"/>
      <c r="I55" s="132"/>
      <c r="J55" s="132"/>
      <c r="K55" s="132"/>
      <c r="L55" s="132"/>
      <c r="IK55" s="132"/>
      <c r="IL55" s="132"/>
      <c r="IM55" s="132"/>
      <c r="IN55" s="132"/>
      <c r="IO55" s="132"/>
      <c r="IP55" s="132"/>
      <c r="IQ55" s="132"/>
      <c r="IR55" s="132"/>
      <c r="IS55" s="132"/>
    </row>
    <row r="56" spans="1:253" s="133" customFormat="1" ht="36.6" customHeight="1" x14ac:dyDescent="0.25">
      <c r="A56" s="109">
        <v>24000000</v>
      </c>
      <c r="B56" s="146" t="s">
        <v>241</v>
      </c>
      <c r="C56" s="126">
        <f>C57</f>
        <v>0</v>
      </c>
      <c r="D56" s="126">
        <f>D57</f>
        <v>595700</v>
      </c>
      <c r="E56" s="126"/>
      <c r="F56" s="138"/>
      <c r="G56" s="132"/>
      <c r="H56" s="132"/>
      <c r="I56" s="132"/>
      <c r="J56" s="132"/>
      <c r="K56" s="132"/>
      <c r="L56" s="132"/>
      <c r="IK56" s="132"/>
      <c r="IL56" s="132"/>
      <c r="IM56" s="132"/>
      <c r="IN56" s="132"/>
      <c r="IO56" s="132"/>
      <c r="IP56" s="132"/>
      <c r="IQ56" s="132"/>
      <c r="IR56" s="132"/>
      <c r="IS56" s="132"/>
    </row>
    <row r="57" spans="1:253" s="133" customFormat="1" ht="36.6" customHeight="1" x14ac:dyDescent="0.25">
      <c r="A57" s="134">
        <v>24060300</v>
      </c>
      <c r="B57" s="135" t="s">
        <v>242</v>
      </c>
      <c r="C57" s="136"/>
      <c r="D57" s="138">
        <v>595700</v>
      </c>
      <c r="E57" s="138"/>
      <c r="F57" s="138"/>
      <c r="G57" s="132"/>
      <c r="H57" s="132"/>
      <c r="I57" s="132"/>
      <c r="J57" s="132"/>
      <c r="K57" s="132"/>
      <c r="L57" s="132"/>
      <c r="IK57" s="132"/>
      <c r="IL57" s="132"/>
      <c r="IM57" s="132"/>
      <c r="IN57" s="132"/>
      <c r="IO57" s="132"/>
      <c r="IP57" s="132"/>
      <c r="IQ57" s="132"/>
      <c r="IR57" s="132"/>
      <c r="IS57" s="132"/>
    </row>
    <row r="58" spans="1:253" s="133" customFormat="1" ht="27" customHeight="1" x14ac:dyDescent="0.25">
      <c r="A58" s="109">
        <v>25000000</v>
      </c>
      <c r="B58" s="146" t="s">
        <v>243</v>
      </c>
      <c r="C58" s="126">
        <f>D58+E58</f>
        <v>2682042</v>
      </c>
      <c r="D58" s="126">
        <f>D59+D60+D61</f>
        <v>0</v>
      </c>
      <c r="E58" s="126">
        <f>E59</f>
        <v>2682042</v>
      </c>
      <c r="F58" s="136">
        <f>F59+F60+F61</f>
        <v>0</v>
      </c>
      <c r="G58" s="132"/>
      <c r="H58" s="132"/>
      <c r="I58" s="132"/>
      <c r="J58" s="132"/>
      <c r="K58" s="132"/>
      <c r="L58" s="132"/>
      <c r="IK58" s="132"/>
      <c r="IL58" s="132"/>
      <c r="IM58" s="132"/>
      <c r="IN58" s="132"/>
      <c r="IO58" s="132"/>
      <c r="IP58" s="132"/>
      <c r="IQ58" s="132"/>
      <c r="IR58" s="132"/>
      <c r="IS58" s="132"/>
    </row>
    <row r="59" spans="1:253" s="133" customFormat="1" ht="24.6" customHeight="1" x14ac:dyDescent="0.25">
      <c r="A59" s="148">
        <v>25010000</v>
      </c>
      <c r="B59" s="149" t="s">
        <v>244</v>
      </c>
      <c r="C59" s="136">
        <f>D59+E59</f>
        <v>2682042</v>
      </c>
      <c r="D59" s="136"/>
      <c r="E59" s="136">
        <f>E60+E61</f>
        <v>2682042</v>
      </c>
      <c r="F59" s="136"/>
      <c r="G59" s="132"/>
      <c r="H59" s="132"/>
      <c r="I59" s="132"/>
      <c r="J59" s="132"/>
      <c r="K59" s="132"/>
      <c r="L59" s="132"/>
      <c r="IK59" s="132"/>
      <c r="IL59" s="132"/>
      <c r="IM59" s="132"/>
      <c r="IN59" s="132"/>
      <c r="IO59" s="132"/>
      <c r="IP59" s="132"/>
      <c r="IQ59" s="132"/>
      <c r="IR59" s="132"/>
      <c r="IS59" s="132"/>
    </row>
    <row r="60" spans="1:253" s="133" customFormat="1" ht="24.6" customHeight="1" x14ac:dyDescent="0.25">
      <c r="A60" s="134">
        <v>25010100</v>
      </c>
      <c r="B60" s="149" t="s">
        <v>245</v>
      </c>
      <c r="C60" s="136">
        <f>D60+E60</f>
        <v>2664042</v>
      </c>
      <c r="D60" s="136"/>
      <c r="E60" s="136">
        <f>2650042+14000</f>
        <v>2664042</v>
      </c>
      <c r="F60" s="136"/>
      <c r="G60" s="132"/>
      <c r="H60" s="132"/>
      <c r="I60" s="132"/>
      <c r="J60" s="132"/>
      <c r="K60" s="132"/>
      <c r="L60" s="132"/>
      <c r="IK60" s="132"/>
      <c r="IL60" s="132"/>
      <c r="IM60" s="132"/>
      <c r="IN60" s="132"/>
      <c r="IO60" s="132"/>
      <c r="IP60" s="132"/>
      <c r="IQ60" s="132"/>
      <c r="IR60" s="132"/>
      <c r="IS60" s="132"/>
    </row>
    <row r="61" spans="1:253" s="133" customFormat="1" ht="13.9" customHeight="1" x14ac:dyDescent="0.25">
      <c r="A61" s="134">
        <v>25010300</v>
      </c>
      <c r="B61" s="150" t="s">
        <v>246</v>
      </c>
      <c r="C61" s="136">
        <f>D61+E61</f>
        <v>18000</v>
      </c>
      <c r="D61" s="136"/>
      <c r="E61" s="136">
        <v>18000</v>
      </c>
      <c r="F61" s="136"/>
      <c r="G61" s="132"/>
      <c r="H61" s="132"/>
      <c r="I61" s="132"/>
      <c r="J61" s="132"/>
      <c r="K61" s="132"/>
      <c r="L61" s="132"/>
      <c r="IK61" s="132"/>
      <c r="IL61" s="132"/>
      <c r="IM61" s="132"/>
      <c r="IN61" s="132"/>
      <c r="IO61" s="132"/>
      <c r="IP61" s="132"/>
      <c r="IQ61" s="132"/>
      <c r="IR61" s="132"/>
      <c r="IS61" s="132"/>
    </row>
    <row r="62" spans="1:253" s="145" customFormat="1" ht="15.6" customHeight="1" x14ac:dyDescent="0.2">
      <c r="A62" s="109">
        <v>30000000</v>
      </c>
      <c r="B62" s="111" t="s">
        <v>247</v>
      </c>
      <c r="C62" s="126">
        <f>C63+C64</f>
        <v>5500</v>
      </c>
      <c r="D62" s="126">
        <f>D63+D64</f>
        <v>5500</v>
      </c>
      <c r="E62" s="126">
        <f>E63+E64</f>
        <v>0</v>
      </c>
      <c r="F62" s="126">
        <f>F63+F64</f>
        <v>0</v>
      </c>
      <c r="G62" s="144"/>
      <c r="H62" s="144"/>
      <c r="I62" s="144"/>
      <c r="J62" s="144"/>
      <c r="K62" s="144"/>
      <c r="L62" s="144"/>
      <c r="IK62" s="144"/>
      <c r="IL62" s="144"/>
      <c r="IM62" s="144"/>
      <c r="IN62" s="144"/>
      <c r="IO62" s="144"/>
      <c r="IP62" s="144"/>
      <c r="IQ62" s="144"/>
      <c r="IR62" s="144"/>
      <c r="IS62" s="144"/>
    </row>
    <row r="63" spans="1:253" s="133" customFormat="1" ht="14.45" customHeight="1" x14ac:dyDescent="0.25">
      <c r="A63" s="130">
        <v>31000000</v>
      </c>
      <c r="B63" s="147" t="s">
        <v>248</v>
      </c>
      <c r="C63" s="140">
        <f>D63+E63</f>
        <v>0</v>
      </c>
      <c r="D63" s="141"/>
      <c r="E63" s="151">
        <f>F63</f>
        <v>0</v>
      </c>
      <c r="F63" s="141">
        <f>F64</f>
        <v>0</v>
      </c>
      <c r="G63" s="132"/>
      <c r="H63" s="132"/>
      <c r="I63" s="132"/>
      <c r="J63" s="132"/>
      <c r="K63" s="132"/>
      <c r="L63" s="132"/>
      <c r="IK63" s="132"/>
      <c r="IL63" s="132"/>
      <c r="IM63" s="132"/>
      <c r="IN63" s="132"/>
      <c r="IO63" s="132"/>
      <c r="IP63" s="132"/>
      <c r="IQ63" s="132"/>
      <c r="IR63" s="132"/>
      <c r="IS63" s="132"/>
    </row>
    <row r="64" spans="1:253" s="133" customFormat="1" ht="46.15" customHeight="1" x14ac:dyDescent="0.25">
      <c r="A64" s="130">
        <v>31010000</v>
      </c>
      <c r="B64" s="152" t="s">
        <v>249</v>
      </c>
      <c r="C64" s="140">
        <f>C65</f>
        <v>5500</v>
      </c>
      <c r="D64" s="140">
        <f>D65</f>
        <v>5500</v>
      </c>
      <c r="E64" s="140">
        <f>E65</f>
        <v>0</v>
      </c>
      <c r="F64" s="140">
        <f>F65</f>
        <v>0</v>
      </c>
      <c r="G64" s="132"/>
      <c r="H64" s="132"/>
      <c r="I64" s="132"/>
      <c r="J64" s="132"/>
      <c r="K64" s="132"/>
      <c r="L64" s="132"/>
      <c r="IK64" s="132"/>
      <c r="IL64" s="132"/>
      <c r="IM64" s="132"/>
      <c r="IN64" s="132"/>
      <c r="IO64" s="132"/>
      <c r="IP64" s="132"/>
      <c r="IQ64" s="132"/>
      <c r="IR64" s="132"/>
      <c r="IS64" s="132"/>
    </row>
    <row r="65" spans="1:253" s="133" customFormat="1" ht="43.15" customHeight="1" x14ac:dyDescent="0.25">
      <c r="A65" s="134">
        <v>31010200</v>
      </c>
      <c r="B65" s="153" t="s">
        <v>250</v>
      </c>
      <c r="C65" s="136">
        <f t="shared" ref="C65:C72" si="1">D65+E65</f>
        <v>5500</v>
      </c>
      <c r="D65" s="138">
        <v>5500</v>
      </c>
      <c r="E65" s="154">
        <v>0</v>
      </c>
      <c r="F65" s="138">
        <v>0</v>
      </c>
      <c r="G65" s="132"/>
      <c r="H65" s="132"/>
      <c r="I65" s="132"/>
      <c r="J65" s="132"/>
      <c r="K65" s="132"/>
      <c r="L65" s="132"/>
      <c r="IK65" s="132"/>
      <c r="IL65" s="132"/>
      <c r="IM65" s="132"/>
      <c r="IN65" s="132"/>
      <c r="IO65" s="132"/>
      <c r="IP65" s="132"/>
      <c r="IQ65" s="132"/>
      <c r="IR65" s="132"/>
      <c r="IS65" s="132"/>
    </row>
    <row r="66" spans="1:253" s="133" customFormat="1" ht="21.6" customHeight="1" x14ac:dyDescent="0.25">
      <c r="A66" s="134"/>
      <c r="B66" s="155" t="s">
        <v>251</v>
      </c>
      <c r="C66" s="126">
        <f t="shared" si="1"/>
        <v>63793130</v>
      </c>
      <c r="D66" s="127">
        <f>D12+D42+D62</f>
        <v>60790188</v>
      </c>
      <c r="E66" s="127">
        <f>E12+E42+E62</f>
        <v>3002942</v>
      </c>
      <c r="F66" s="127">
        <f>F12+F42+F62</f>
        <v>0</v>
      </c>
      <c r="G66" s="132">
        <f>D66-'[3]Лист1 (испр)'!$F$43*1000</f>
        <v>0</v>
      </c>
      <c r="H66" s="132"/>
      <c r="I66" s="132"/>
      <c r="J66" s="132"/>
      <c r="K66" s="132"/>
      <c r="L66" s="132"/>
      <c r="IK66" s="132"/>
      <c r="IL66" s="132"/>
      <c r="IM66" s="132"/>
      <c r="IN66" s="132"/>
      <c r="IO66" s="132"/>
      <c r="IP66" s="132"/>
      <c r="IQ66" s="132"/>
      <c r="IR66" s="132"/>
      <c r="IS66" s="132"/>
    </row>
    <row r="67" spans="1:253" s="145" customFormat="1" ht="20.25" customHeight="1" x14ac:dyDescent="0.2">
      <c r="A67" s="109">
        <v>40000000</v>
      </c>
      <c r="B67" s="111" t="s">
        <v>252</v>
      </c>
      <c r="C67" s="126">
        <f t="shared" si="1"/>
        <v>35916500</v>
      </c>
      <c r="D67" s="156">
        <f t="shared" ref="D67:F68" si="2">D68</f>
        <v>35916500</v>
      </c>
      <c r="E67" s="156">
        <f t="shared" si="2"/>
        <v>0</v>
      </c>
      <c r="F67" s="156">
        <f t="shared" si="2"/>
        <v>0</v>
      </c>
      <c r="G67" s="144"/>
      <c r="H67" s="144"/>
      <c r="I67" s="144"/>
      <c r="J67" s="144"/>
      <c r="K67" s="144"/>
      <c r="L67" s="144"/>
      <c r="IK67" s="144"/>
      <c r="IL67" s="144"/>
      <c r="IM67" s="144"/>
      <c r="IN67" s="144"/>
      <c r="IO67" s="144"/>
      <c r="IP67" s="144"/>
      <c r="IQ67" s="144"/>
      <c r="IR67" s="144"/>
      <c r="IS67" s="144"/>
    </row>
    <row r="68" spans="1:253" s="133" customFormat="1" ht="20.25" customHeight="1" x14ac:dyDescent="0.25">
      <c r="A68" s="109">
        <v>41000000</v>
      </c>
      <c r="B68" s="146" t="s">
        <v>253</v>
      </c>
      <c r="C68" s="126">
        <f t="shared" si="1"/>
        <v>35916500</v>
      </c>
      <c r="D68" s="127">
        <f t="shared" si="2"/>
        <v>35916500</v>
      </c>
      <c r="E68" s="127">
        <f t="shared" si="2"/>
        <v>0</v>
      </c>
      <c r="F68" s="127">
        <f t="shared" si="2"/>
        <v>0</v>
      </c>
      <c r="G68" s="132"/>
      <c r="H68" s="132"/>
      <c r="I68" s="132"/>
      <c r="J68" s="132"/>
      <c r="K68" s="132"/>
      <c r="L68" s="132"/>
      <c r="IK68" s="132"/>
      <c r="IL68" s="132"/>
      <c r="IM68" s="132"/>
      <c r="IN68" s="132"/>
      <c r="IO68" s="132"/>
      <c r="IP68" s="132"/>
      <c r="IQ68" s="132"/>
      <c r="IR68" s="132"/>
      <c r="IS68" s="132"/>
    </row>
    <row r="69" spans="1:253" s="133" customFormat="1" ht="31.9" customHeight="1" x14ac:dyDescent="0.25">
      <c r="A69" s="157">
        <v>41050000</v>
      </c>
      <c r="B69" s="158" t="s">
        <v>254</v>
      </c>
      <c r="C69" s="159">
        <f t="shared" si="1"/>
        <v>35916500</v>
      </c>
      <c r="D69" s="159">
        <f>D71+D70</f>
        <v>35916500</v>
      </c>
      <c r="E69" s="136">
        <f>E71</f>
        <v>0</v>
      </c>
      <c r="F69" s="136">
        <f>F71</f>
        <v>0</v>
      </c>
      <c r="G69" s="160"/>
      <c r="H69" s="132"/>
      <c r="I69" s="132"/>
      <c r="J69" s="132"/>
      <c r="K69" s="132"/>
      <c r="L69" s="132"/>
      <c r="IK69" s="132"/>
      <c r="IL69" s="132"/>
      <c r="IM69" s="132"/>
      <c r="IN69" s="132"/>
      <c r="IO69" s="132"/>
      <c r="IP69" s="132"/>
      <c r="IQ69" s="132"/>
      <c r="IR69" s="132"/>
      <c r="IS69" s="132"/>
    </row>
    <row r="70" spans="1:253" s="133" customFormat="1" ht="69" customHeight="1" x14ac:dyDescent="0.25">
      <c r="A70" s="161">
        <v>41051200</v>
      </c>
      <c r="B70" s="162" t="s">
        <v>255</v>
      </c>
      <c r="C70" s="163">
        <f t="shared" si="1"/>
        <v>56100</v>
      </c>
      <c r="D70" s="163">
        <v>56100</v>
      </c>
      <c r="E70" s="136"/>
      <c r="F70" s="136"/>
      <c r="G70" s="160"/>
      <c r="H70" s="132"/>
      <c r="I70" s="132"/>
      <c r="J70" s="132"/>
      <c r="K70" s="132"/>
      <c r="L70" s="132"/>
      <c r="IK70" s="132"/>
      <c r="IL70" s="132"/>
      <c r="IM70" s="132"/>
      <c r="IN70" s="132"/>
      <c r="IO70" s="132"/>
      <c r="IP70" s="132"/>
      <c r="IQ70" s="132"/>
      <c r="IR70" s="132"/>
      <c r="IS70" s="132"/>
    </row>
    <row r="71" spans="1:253" s="133" customFormat="1" ht="20.25" customHeight="1" x14ac:dyDescent="0.25">
      <c r="A71" s="161">
        <v>41053900</v>
      </c>
      <c r="B71" s="164" t="s">
        <v>43</v>
      </c>
      <c r="C71" s="163">
        <f t="shared" si="1"/>
        <v>35860400</v>
      </c>
      <c r="D71" s="136">
        <f>33672000+2188400</f>
        <v>35860400</v>
      </c>
      <c r="E71" s="136"/>
      <c r="F71" s="136"/>
      <c r="G71" s="132"/>
      <c r="H71" s="132"/>
      <c r="I71" s="132"/>
      <c r="J71" s="132"/>
      <c r="K71" s="132"/>
      <c r="L71" s="132"/>
      <c r="IK71" s="132"/>
      <c r="IL71" s="132"/>
      <c r="IM71" s="132"/>
      <c r="IN71" s="132"/>
      <c r="IO71" s="132"/>
      <c r="IP71" s="132"/>
      <c r="IQ71" s="132"/>
      <c r="IR71" s="132"/>
      <c r="IS71" s="132"/>
    </row>
    <row r="72" spans="1:253" s="145" customFormat="1" ht="27.75" customHeight="1" x14ac:dyDescent="0.2">
      <c r="A72" s="108"/>
      <c r="B72" s="165" t="s">
        <v>256</v>
      </c>
      <c r="C72" s="126">
        <f t="shared" si="1"/>
        <v>99709630</v>
      </c>
      <c r="D72" s="143">
        <f>D66+D67</f>
        <v>96706688</v>
      </c>
      <c r="E72" s="143">
        <f>E66+E67</f>
        <v>3002942</v>
      </c>
      <c r="F72" s="143">
        <f>F66+F67</f>
        <v>0</v>
      </c>
      <c r="G72" s="144"/>
      <c r="H72" s="144"/>
      <c r="I72" s="144"/>
      <c r="J72" s="144"/>
      <c r="K72" s="144"/>
      <c r="L72" s="144"/>
      <c r="IK72" s="144"/>
      <c r="IL72" s="144"/>
      <c r="IM72" s="144"/>
      <c r="IN72" s="144"/>
      <c r="IO72" s="144"/>
      <c r="IP72" s="144"/>
      <c r="IQ72" s="144"/>
      <c r="IR72" s="144"/>
      <c r="IS72" s="144"/>
    </row>
    <row r="74" spans="1:253" ht="33.6" customHeight="1" x14ac:dyDescent="0.2">
      <c r="B74" s="104" t="s">
        <v>257</v>
      </c>
      <c r="C74" s="104"/>
      <c r="D74" s="104"/>
      <c r="E74" s="229" t="s">
        <v>116</v>
      </c>
      <c r="F74" s="229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253" ht="33.6" customHeight="1" x14ac:dyDescent="0.2"/>
  </sheetData>
  <mergeCells count="9">
    <mergeCell ref="E74:F74"/>
    <mergeCell ref="B10:B11"/>
    <mergeCell ref="A6:E6"/>
    <mergeCell ref="C10:C11"/>
    <mergeCell ref="D10:D11"/>
    <mergeCell ref="E10:F10"/>
    <mergeCell ref="A10:A11"/>
    <mergeCell ref="A7:F7"/>
    <mergeCell ref="A8:F8"/>
  </mergeCells>
  <phoneticPr fontId="2" type="noConversion"/>
  <printOptions horizontalCentered="1"/>
  <pageMargins left="1.0236220472440944" right="0.39370078740157483" top="0.51181102362204722" bottom="0.35433070866141736" header="0.27559055118110237" footer="0.23622047244094491"/>
  <pageSetup paperSize="9" scale="78" fitToHeight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showZeros="0" zoomScale="75" workbookViewId="0">
      <selection activeCell="A6" sqref="A6:F6"/>
    </sheetView>
  </sheetViews>
  <sheetFormatPr defaultColWidth="9.1640625" defaultRowHeight="12.75" customHeight="1" x14ac:dyDescent="0.2"/>
  <cols>
    <col min="1" max="1" width="9.5" style="1" customWidth="1"/>
    <col min="2" max="2" width="46.33203125" style="1" customWidth="1"/>
    <col min="3" max="3" width="13" style="1" customWidth="1"/>
    <col min="4" max="4" width="14.5" style="1" customWidth="1"/>
    <col min="5" max="5" width="14.33203125" style="1" customWidth="1"/>
    <col min="6" max="6" width="14.1640625" style="1" customWidth="1"/>
    <col min="7" max="12" width="9.1640625" style="1" customWidth="1"/>
    <col min="13" max="16384" width="9.1640625" style="78"/>
  </cols>
  <sheetData>
    <row r="1" spans="1:12" s="77" customFormat="1" ht="12.75" customHeight="1" x14ac:dyDescent="0.25">
      <c r="A1" s="76"/>
      <c r="B1" s="76"/>
      <c r="C1" s="76"/>
      <c r="D1" s="1" t="s">
        <v>157</v>
      </c>
      <c r="E1" s="76"/>
      <c r="F1" s="76"/>
      <c r="G1" s="76"/>
      <c r="H1" s="76"/>
      <c r="I1" s="76"/>
      <c r="J1" s="76"/>
      <c r="K1" s="76"/>
      <c r="L1" s="76"/>
    </row>
    <row r="2" spans="1:12" ht="12.75" customHeight="1" x14ac:dyDescent="0.2">
      <c r="D2" s="1" t="s">
        <v>85</v>
      </c>
    </row>
    <row r="3" spans="1:12" ht="12.75" customHeight="1" x14ac:dyDescent="0.2">
      <c r="D3" s="1" t="s">
        <v>90</v>
      </c>
    </row>
    <row r="4" spans="1:12" ht="12.75" customHeight="1" x14ac:dyDescent="0.2">
      <c r="D4" s="1" t="s">
        <v>89</v>
      </c>
    </row>
    <row r="5" spans="1:12" ht="12.75" customHeight="1" x14ac:dyDescent="0.2">
      <c r="D5" s="1" t="s">
        <v>298</v>
      </c>
    </row>
    <row r="6" spans="1:12" ht="36" customHeight="1" x14ac:dyDescent="0.2">
      <c r="A6" s="235" t="s">
        <v>158</v>
      </c>
      <c r="B6" s="235"/>
      <c r="C6" s="235"/>
      <c r="D6" s="235"/>
      <c r="E6" s="235"/>
      <c r="F6" s="235"/>
    </row>
    <row r="7" spans="1:12" ht="14.45" customHeight="1" x14ac:dyDescent="0.2">
      <c r="A7" s="233" t="s">
        <v>119</v>
      </c>
      <c r="B7" s="233"/>
      <c r="C7" s="233"/>
      <c r="D7" s="233"/>
      <c r="E7" s="233"/>
      <c r="F7" s="233"/>
    </row>
    <row r="8" spans="1:12" ht="14.45" customHeight="1" x14ac:dyDescent="0.2">
      <c r="A8" s="234" t="s">
        <v>118</v>
      </c>
      <c r="B8" s="234"/>
      <c r="C8" s="234"/>
      <c r="D8" s="234"/>
      <c r="E8" s="234"/>
      <c r="F8" s="234"/>
    </row>
    <row r="9" spans="1:12" ht="12.75" customHeight="1" x14ac:dyDescent="0.2">
      <c r="A9" s="236"/>
      <c r="B9" s="236"/>
      <c r="C9" s="236"/>
      <c r="D9" s="236"/>
      <c r="E9" s="236"/>
      <c r="F9" s="34" t="s">
        <v>10</v>
      </c>
    </row>
    <row r="10" spans="1:12" s="81" customFormat="1" ht="24.75" customHeight="1" x14ac:dyDescent="0.2">
      <c r="A10" s="230" t="s">
        <v>159</v>
      </c>
      <c r="B10" s="230" t="s">
        <v>160</v>
      </c>
      <c r="C10" s="230" t="s">
        <v>50</v>
      </c>
      <c r="D10" s="230" t="s">
        <v>0</v>
      </c>
      <c r="E10" s="237" t="s">
        <v>1</v>
      </c>
      <c r="F10" s="238"/>
      <c r="G10" s="80"/>
      <c r="H10" s="80"/>
      <c r="I10" s="80"/>
      <c r="J10" s="80"/>
      <c r="K10" s="80"/>
      <c r="L10" s="80"/>
    </row>
    <row r="11" spans="1:12" s="81" customFormat="1" ht="38.25" customHeight="1" x14ac:dyDescent="0.2">
      <c r="A11" s="230"/>
      <c r="B11" s="230"/>
      <c r="C11" s="230"/>
      <c r="D11" s="230"/>
      <c r="E11" s="79" t="s">
        <v>50</v>
      </c>
      <c r="F11" s="75" t="s">
        <v>161</v>
      </c>
      <c r="G11" s="80"/>
      <c r="H11" s="80"/>
      <c r="I11" s="80"/>
      <c r="J11" s="80"/>
      <c r="K11" s="80"/>
      <c r="L11" s="80"/>
    </row>
    <row r="12" spans="1:12" s="86" customFormat="1" ht="26.25" customHeight="1" x14ac:dyDescent="0.2">
      <c r="A12" s="82">
        <v>200000</v>
      </c>
      <c r="B12" s="83" t="s">
        <v>162</v>
      </c>
      <c r="C12" s="84">
        <f>D12+E12</f>
        <v>32945993</v>
      </c>
      <c r="D12" s="85">
        <f>D13</f>
        <v>-26662207</v>
      </c>
      <c r="E12" s="85">
        <f>E13</f>
        <v>59608200</v>
      </c>
      <c r="F12" s="85">
        <f>F13</f>
        <v>59577825</v>
      </c>
      <c r="G12" s="1"/>
      <c r="H12" s="1"/>
      <c r="I12" s="1"/>
      <c r="J12" s="1"/>
      <c r="K12" s="1"/>
      <c r="L12" s="1"/>
    </row>
    <row r="13" spans="1:12" s="91" customFormat="1" ht="30" customHeight="1" x14ac:dyDescent="0.2">
      <c r="A13" s="87">
        <v>208000</v>
      </c>
      <c r="B13" s="88" t="s">
        <v>163</v>
      </c>
      <c r="C13" s="84">
        <f>D13+E13</f>
        <v>32945993</v>
      </c>
      <c r="D13" s="89">
        <f>D14-D15+D16</f>
        <v>-26662207</v>
      </c>
      <c r="E13" s="89">
        <f>E14+E16</f>
        <v>59608200</v>
      </c>
      <c r="F13" s="89">
        <f>F14+F16</f>
        <v>59577825</v>
      </c>
      <c r="G13" s="90"/>
      <c r="H13" s="90"/>
      <c r="I13" s="90"/>
      <c r="J13" s="90"/>
      <c r="K13" s="90"/>
      <c r="L13" s="90"/>
    </row>
    <row r="14" spans="1:12" s="97" customFormat="1" ht="20.25" customHeight="1" x14ac:dyDescent="0.2">
      <c r="A14" s="92">
        <v>208100</v>
      </c>
      <c r="B14" s="93" t="s">
        <v>164</v>
      </c>
      <c r="C14" s="84">
        <f>D14+E14</f>
        <v>33015993</v>
      </c>
      <c r="D14" s="94">
        <f>10279491+4614000+6608000+7345000+2377424+1561703+200000</f>
        <v>32985618</v>
      </c>
      <c r="E14" s="95">
        <f>5000+15000+10375</f>
        <v>30375</v>
      </c>
      <c r="F14" s="96"/>
      <c r="G14" s="90"/>
      <c r="H14" s="90"/>
      <c r="I14" s="90"/>
      <c r="J14" s="90"/>
      <c r="K14" s="90"/>
      <c r="L14" s="90"/>
    </row>
    <row r="15" spans="1:12" s="97" customFormat="1" ht="20.25" customHeight="1" x14ac:dyDescent="0.2">
      <c r="A15" s="98">
        <v>208200</v>
      </c>
      <c r="B15" s="99" t="s">
        <v>165</v>
      </c>
      <c r="C15" s="100">
        <f>D15+E15</f>
        <v>70000</v>
      </c>
      <c r="D15" s="101">
        <v>70000</v>
      </c>
      <c r="E15" s="101"/>
      <c r="F15" s="96"/>
      <c r="G15" s="90"/>
      <c r="H15" s="90"/>
      <c r="I15" s="90"/>
      <c r="J15" s="90"/>
      <c r="K15" s="90"/>
      <c r="L15" s="90"/>
    </row>
    <row r="16" spans="1:12" s="97" customFormat="1" ht="27.6" customHeight="1" x14ac:dyDescent="0.2">
      <c r="A16" s="98">
        <v>208400</v>
      </c>
      <c r="B16" s="99" t="s">
        <v>166</v>
      </c>
      <c r="C16" s="84" t="s">
        <v>167</v>
      </c>
      <c r="D16" s="101">
        <f>-33936085-5019918-3085000-1075030-6330000+300000-6945000-1877424-1526287-83081</f>
        <v>-59577825</v>
      </c>
      <c r="E16" s="101">
        <f>33936085+5019918+3085000+1075030+6330000-300000+6945000+1877424+1526287+83081</f>
        <v>59577825</v>
      </c>
      <c r="F16" s="101">
        <f>33936085+5019918+3085000+1075030+6330000-300000+6945000+1877424+1526287+83081</f>
        <v>59577825</v>
      </c>
      <c r="G16" s="90"/>
      <c r="H16" s="90"/>
      <c r="I16" s="90"/>
      <c r="J16" s="90"/>
      <c r="K16" s="90"/>
      <c r="L16" s="90"/>
    </row>
    <row r="17" spans="1:17" s="97" customFormat="1" ht="30.6" customHeight="1" x14ac:dyDescent="0.2">
      <c r="A17" s="92"/>
      <c r="B17" s="88" t="s">
        <v>168</v>
      </c>
      <c r="C17" s="84">
        <f>D17+E17</f>
        <v>32945993</v>
      </c>
      <c r="D17" s="95">
        <f>D12</f>
        <v>-26662207</v>
      </c>
      <c r="E17" s="95">
        <f>E12</f>
        <v>59608200</v>
      </c>
      <c r="F17" s="95">
        <f>F12</f>
        <v>59577825</v>
      </c>
      <c r="G17" s="90"/>
      <c r="H17" s="90"/>
      <c r="I17" s="90"/>
      <c r="J17" s="90"/>
      <c r="K17" s="90"/>
      <c r="L17" s="90"/>
    </row>
    <row r="18" spans="1:17" s="91" customFormat="1" ht="22.15" customHeight="1" x14ac:dyDescent="0.2">
      <c r="A18" s="87">
        <v>600000</v>
      </c>
      <c r="B18" s="88" t="s">
        <v>169</v>
      </c>
      <c r="C18" s="84">
        <f>D18+E18</f>
        <v>32945993</v>
      </c>
      <c r="D18" s="89">
        <f>D12</f>
        <v>-26662207</v>
      </c>
      <c r="E18" s="89">
        <f>E12</f>
        <v>59608200</v>
      </c>
      <c r="F18" s="89">
        <f>F12</f>
        <v>59577825</v>
      </c>
      <c r="G18" s="90"/>
      <c r="H18" s="90"/>
      <c r="I18" s="90"/>
      <c r="J18" s="90"/>
      <c r="K18" s="90"/>
      <c r="L18" s="90"/>
    </row>
    <row r="19" spans="1:17" s="97" customFormat="1" ht="18.75" customHeight="1" x14ac:dyDescent="0.2">
      <c r="A19" s="92">
        <v>602000</v>
      </c>
      <c r="B19" s="93" t="s">
        <v>170</v>
      </c>
      <c r="C19" s="84">
        <f>D19+E19</f>
        <v>32945993</v>
      </c>
      <c r="D19" s="95">
        <f>D12</f>
        <v>-26662207</v>
      </c>
      <c r="E19" s="95">
        <f>E12</f>
        <v>59608200</v>
      </c>
      <c r="F19" s="95">
        <f>F12</f>
        <v>59577825</v>
      </c>
      <c r="G19" s="90"/>
      <c r="H19" s="90"/>
      <c r="I19" s="90"/>
      <c r="J19" s="90"/>
      <c r="K19" s="90"/>
      <c r="L19" s="90"/>
    </row>
    <row r="20" spans="1:17" s="97" customFormat="1" ht="18.75" customHeight="1" x14ac:dyDescent="0.2">
      <c r="A20" s="98">
        <v>602100</v>
      </c>
      <c r="B20" s="99" t="s">
        <v>164</v>
      </c>
      <c r="C20" s="84">
        <f>D20+E20</f>
        <v>33015993</v>
      </c>
      <c r="D20" s="102">
        <f>D14</f>
        <v>32985618</v>
      </c>
      <c r="E20" s="101">
        <f>E14</f>
        <v>30375</v>
      </c>
      <c r="F20" s="101">
        <f>F14</f>
        <v>0</v>
      </c>
      <c r="G20" s="90"/>
      <c r="H20" s="90"/>
      <c r="I20" s="90"/>
      <c r="J20" s="90"/>
      <c r="K20" s="90"/>
      <c r="L20" s="90"/>
    </row>
    <row r="21" spans="1:17" s="97" customFormat="1" ht="18.75" customHeight="1" x14ac:dyDescent="0.2">
      <c r="A21" s="98">
        <v>602200</v>
      </c>
      <c r="B21" s="99" t="s">
        <v>165</v>
      </c>
      <c r="C21" s="100">
        <f>D21+E21</f>
        <v>70000</v>
      </c>
      <c r="D21" s="101">
        <f>D15</f>
        <v>70000</v>
      </c>
      <c r="E21" s="101">
        <v>0</v>
      </c>
      <c r="F21" s="96"/>
      <c r="G21" s="90"/>
      <c r="H21" s="90"/>
      <c r="I21" s="90"/>
      <c r="J21" s="90"/>
      <c r="K21" s="90"/>
      <c r="L21" s="90"/>
    </row>
    <row r="22" spans="1:17" s="97" customFormat="1" ht="35.450000000000003" customHeight="1" x14ac:dyDescent="0.2">
      <c r="A22" s="98">
        <v>602400</v>
      </c>
      <c r="B22" s="99" t="s">
        <v>166</v>
      </c>
      <c r="C22" s="84" t="s">
        <v>167</v>
      </c>
      <c r="D22" s="101">
        <f>D16</f>
        <v>-59577825</v>
      </c>
      <c r="E22" s="101">
        <f>E16</f>
        <v>59577825</v>
      </c>
      <c r="F22" s="101">
        <f>F16</f>
        <v>59577825</v>
      </c>
      <c r="G22" s="90"/>
      <c r="H22" s="90"/>
      <c r="I22" s="90"/>
      <c r="J22" s="90"/>
      <c r="K22" s="90"/>
      <c r="L22" s="90"/>
    </row>
    <row r="23" spans="1:17" ht="31.15" customHeight="1" x14ac:dyDescent="0.2">
      <c r="A23" s="98"/>
      <c r="B23" s="88" t="s">
        <v>171</v>
      </c>
      <c r="C23" s="84">
        <f>D23+E23</f>
        <v>32945993</v>
      </c>
      <c r="D23" s="103">
        <f>D12</f>
        <v>-26662207</v>
      </c>
      <c r="E23" s="103">
        <f>E12</f>
        <v>59608200</v>
      </c>
      <c r="F23" s="103">
        <f>F12</f>
        <v>59577825</v>
      </c>
    </row>
    <row r="24" spans="1:17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7" ht="56.25" x14ac:dyDescent="0.2">
      <c r="B25" s="104" t="s">
        <v>172</v>
      </c>
      <c r="C25" s="104"/>
      <c r="D25" s="104"/>
      <c r="E25" s="229" t="s">
        <v>116</v>
      </c>
      <c r="F25" s="229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</sheetData>
  <mergeCells count="10">
    <mergeCell ref="A8:F8"/>
    <mergeCell ref="E25:F25"/>
    <mergeCell ref="A6:F6"/>
    <mergeCell ref="A9:E9"/>
    <mergeCell ref="A10:A11"/>
    <mergeCell ref="B10:B11"/>
    <mergeCell ref="C10:C11"/>
    <mergeCell ref="D10:D11"/>
    <mergeCell ref="E10:F10"/>
    <mergeCell ref="A7:F7"/>
  </mergeCells>
  <phoneticPr fontId="2" type="noConversion"/>
  <printOptions horizontalCentered="1"/>
  <pageMargins left="0.74803149606299213" right="0.74803149606299213" top="0.59055118110236227" bottom="0.78740157480314965" header="0.51181102362204722" footer="0.51181102362204722"/>
  <pageSetup paperSize="9" scale="86" fitToHeight="0" orientation="portrait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showZeros="0" zoomScale="60" zoomScaleNormal="80" zoomScaleSheetLayoutView="90" workbookViewId="0">
      <selection activeCell="B6" sqref="B6:P6"/>
    </sheetView>
  </sheetViews>
  <sheetFormatPr defaultColWidth="9.1640625" defaultRowHeight="12.75" x14ac:dyDescent="0.2"/>
  <cols>
    <col min="1" max="1" width="13.1640625" style="1" customWidth="1"/>
    <col min="2" max="2" width="13.33203125" style="1" customWidth="1"/>
    <col min="3" max="3" width="15.33203125" style="1" customWidth="1"/>
    <col min="4" max="4" width="48.83203125" style="1" customWidth="1"/>
    <col min="5" max="7" width="13.33203125" style="1" customWidth="1"/>
    <col min="8" max="8" width="9.6640625" style="1" customWidth="1"/>
    <col min="9" max="9" width="9.83203125" style="1" customWidth="1"/>
    <col min="10" max="11" width="12.1640625" style="1" customWidth="1"/>
    <col min="12" max="12" width="11" style="1" customWidth="1"/>
    <col min="13" max="13" width="7.83203125" style="1" customWidth="1"/>
    <col min="14" max="14" width="8.5" style="1" customWidth="1"/>
    <col min="15" max="16" width="12.83203125" style="1" customWidth="1"/>
    <col min="17" max="16384" width="9.1640625" style="64"/>
  </cols>
  <sheetData>
    <row r="1" spans="1:17" x14ac:dyDescent="0.2">
      <c r="N1" s="1" t="s">
        <v>54</v>
      </c>
    </row>
    <row r="2" spans="1:17" x14ac:dyDescent="0.2">
      <c r="N2" s="1" t="s">
        <v>85</v>
      </c>
    </row>
    <row r="3" spans="1:17" x14ac:dyDescent="0.2">
      <c r="N3" s="1" t="s">
        <v>90</v>
      </c>
    </row>
    <row r="4" spans="1:17" x14ac:dyDescent="0.2">
      <c r="N4" s="1" t="s">
        <v>89</v>
      </c>
    </row>
    <row r="5" spans="1:17" s="66" customFormat="1" ht="15" customHeight="1" x14ac:dyDescent="0.25">
      <c r="A5" s="32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" t="s">
        <v>298</v>
      </c>
      <c r="O5" s="65"/>
      <c r="P5" s="65"/>
    </row>
    <row r="6" spans="1:17" ht="27" customHeight="1" x14ac:dyDescent="0.2">
      <c r="B6" s="239" t="s">
        <v>91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</row>
    <row r="7" spans="1:17" ht="16.899999999999999" customHeight="1" x14ac:dyDescent="0.2">
      <c r="A7" s="50" t="s">
        <v>119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7" ht="16.899999999999999" customHeight="1" x14ac:dyDescent="0.2">
      <c r="A8" s="1" t="s">
        <v>118</v>
      </c>
    </row>
    <row r="9" spans="1:17" ht="10.15" customHeight="1" x14ac:dyDescent="0.3">
      <c r="B9" s="33"/>
      <c r="C9" s="33"/>
      <c r="D9" s="33"/>
      <c r="E9" s="33"/>
      <c r="F9" s="33"/>
      <c r="G9" s="5"/>
      <c r="H9" s="33"/>
      <c r="I9" s="33"/>
      <c r="J9" s="4"/>
      <c r="K9" s="4"/>
      <c r="L9" s="67"/>
      <c r="M9" s="67"/>
      <c r="N9" s="67"/>
      <c r="O9" s="67"/>
      <c r="P9" s="34" t="s">
        <v>20</v>
      </c>
    </row>
    <row r="10" spans="1:17" s="68" customFormat="1" ht="21.75" customHeight="1" x14ac:dyDescent="0.2">
      <c r="A10" s="240" t="s">
        <v>120</v>
      </c>
      <c r="B10" s="240" t="s">
        <v>121</v>
      </c>
      <c r="C10" s="240" t="s">
        <v>123</v>
      </c>
      <c r="D10" s="240" t="s">
        <v>52</v>
      </c>
      <c r="E10" s="241" t="s">
        <v>0</v>
      </c>
      <c r="F10" s="241"/>
      <c r="G10" s="241"/>
      <c r="H10" s="241"/>
      <c r="I10" s="241"/>
      <c r="J10" s="241" t="s">
        <v>1</v>
      </c>
      <c r="K10" s="241"/>
      <c r="L10" s="241"/>
      <c r="M10" s="241"/>
      <c r="N10" s="241"/>
      <c r="O10" s="241"/>
      <c r="P10" s="241" t="s">
        <v>2</v>
      </c>
    </row>
    <row r="11" spans="1:17" s="68" customFormat="1" ht="16.5" customHeight="1" x14ac:dyDescent="0.2">
      <c r="A11" s="240"/>
      <c r="B11" s="240"/>
      <c r="C11" s="240"/>
      <c r="D11" s="240"/>
      <c r="E11" s="240" t="s">
        <v>50</v>
      </c>
      <c r="F11" s="244" t="s">
        <v>3</v>
      </c>
      <c r="G11" s="240" t="s">
        <v>4</v>
      </c>
      <c r="H11" s="240"/>
      <c r="I11" s="244" t="s">
        <v>5</v>
      </c>
      <c r="J11" s="240" t="s">
        <v>50</v>
      </c>
      <c r="K11" s="240" t="s">
        <v>126</v>
      </c>
      <c r="L11" s="244" t="s">
        <v>3</v>
      </c>
      <c r="M11" s="240" t="s">
        <v>4</v>
      </c>
      <c r="N11" s="240"/>
      <c r="O11" s="244" t="s">
        <v>5</v>
      </c>
      <c r="P11" s="241"/>
    </row>
    <row r="12" spans="1:17" s="68" customFormat="1" ht="20.25" customHeight="1" x14ac:dyDescent="0.2">
      <c r="A12" s="240"/>
      <c r="B12" s="240"/>
      <c r="C12" s="240"/>
      <c r="D12" s="240"/>
      <c r="E12" s="240"/>
      <c r="F12" s="244"/>
      <c r="G12" s="240" t="s">
        <v>6</v>
      </c>
      <c r="H12" s="240" t="s">
        <v>7</v>
      </c>
      <c r="I12" s="244"/>
      <c r="J12" s="240"/>
      <c r="K12" s="240"/>
      <c r="L12" s="244"/>
      <c r="M12" s="240" t="s">
        <v>6</v>
      </c>
      <c r="N12" s="243" t="s">
        <v>7</v>
      </c>
      <c r="O12" s="244"/>
      <c r="P12" s="241"/>
    </row>
    <row r="13" spans="1:17" s="68" customFormat="1" ht="42" customHeight="1" x14ac:dyDescent="0.2">
      <c r="A13" s="240"/>
      <c r="B13" s="240"/>
      <c r="C13" s="240"/>
      <c r="D13" s="240"/>
      <c r="E13" s="240"/>
      <c r="F13" s="244"/>
      <c r="G13" s="240"/>
      <c r="H13" s="240"/>
      <c r="I13" s="244"/>
      <c r="J13" s="240"/>
      <c r="K13" s="240"/>
      <c r="L13" s="244"/>
      <c r="M13" s="240"/>
      <c r="N13" s="243"/>
      <c r="O13" s="244"/>
      <c r="P13" s="241"/>
    </row>
    <row r="14" spans="1:17" ht="36" customHeight="1" x14ac:dyDescent="0.2">
      <c r="A14" s="28" t="s">
        <v>78</v>
      </c>
      <c r="B14" s="19"/>
      <c r="C14" s="13"/>
      <c r="D14" s="17" t="s">
        <v>56</v>
      </c>
      <c r="E14" s="15">
        <f>E16+E19+E22+E27+E31+E33+E36+E38+E43+E45+E49+E51+E53+E47</f>
        <v>70044481</v>
      </c>
      <c r="F14" s="15">
        <f>F16+F19+F22+F27+F31+F33+F36+F38+F43+F45+F49+F51+F53+F47</f>
        <v>70044481</v>
      </c>
      <c r="G14" s="15">
        <f>G16+G19+G22+G27+G31+G33+G36+G38+G43+G45+G49+G51+G53+G47</f>
        <v>32259646</v>
      </c>
      <c r="H14" s="15">
        <f>H16+H19+H22+H27+H31+H33+H36+H38+H43+H45+H49+H51+H53+H47</f>
        <v>6814904</v>
      </c>
      <c r="I14" s="15">
        <f>I16+I19+I22+I27+I31+I33+I36+I38+I43+I45+I49+I51+I52</f>
        <v>0</v>
      </c>
      <c r="J14" s="15">
        <f t="shared" ref="J14:P14" si="0">J16+J19+J22+J27+J31+J33+J36+J38+J43+J45+J49+J51+J53+J47</f>
        <v>62611142</v>
      </c>
      <c r="K14" s="15">
        <f t="shared" si="0"/>
        <v>59577825</v>
      </c>
      <c r="L14" s="15">
        <f t="shared" si="0"/>
        <v>3033317</v>
      </c>
      <c r="M14" s="15">
        <f t="shared" si="0"/>
        <v>0</v>
      </c>
      <c r="N14" s="15">
        <f t="shared" si="0"/>
        <v>0</v>
      </c>
      <c r="O14" s="15">
        <f t="shared" si="0"/>
        <v>59577825</v>
      </c>
      <c r="P14" s="15">
        <f t="shared" si="0"/>
        <v>132655623</v>
      </c>
      <c r="Q14" s="69"/>
    </row>
    <row r="15" spans="1:17" s="68" customFormat="1" ht="31.15" customHeight="1" x14ac:dyDescent="0.2">
      <c r="A15" s="26" t="s">
        <v>55</v>
      </c>
      <c r="B15" s="19"/>
      <c r="C15" s="13"/>
      <c r="D15" s="17" t="s">
        <v>56</v>
      </c>
      <c r="E15" s="14">
        <f t="shared" ref="E15:P15" si="1">E14</f>
        <v>70044481</v>
      </c>
      <c r="F15" s="14">
        <f t="shared" si="1"/>
        <v>70044481</v>
      </c>
      <c r="G15" s="14">
        <f t="shared" si="1"/>
        <v>32259646</v>
      </c>
      <c r="H15" s="14">
        <f t="shared" si="1"/>
        <v>6814904</v>
      </c>
      <c r="I15" s="14">
        <f t="shared" si="1"/>
        <v>0</v>
      </c>
      <c r="J15" s="14">
        <f t="shared" si="1"/>
        <v>62611142</v>
      </c>
      <c r="K15" s="14">
        <f t="shared" si="1"/>
        <v>59577825</v>
      </c>
      <c r="L15" s="14">
        <f t="shared" si="1"/>
        <v>3033317</v>
      </c>
      <c r="M15" s="14">
        <f t="shared" si="1"/>
        <v>0</v>
      </c>
      <c r="N15" s="14">
        <f t="shared" si="1"/>
        <v>0</v>
      </c>
      <c r="O15" s="14">
        <f t="shared" si="1"/>
        <v>59577825</v>
      </c>
      <c r="P15" s="14">
        <f t="shared" si="1"/>
        <v>132655623</v>
      </c>
      <c r="Q15" s="70"/>
    </row>
    <row r="16" spans="1:17" s="68" customFormat="1" ht="27" customHeight="1" x14ac:dyDescent="0.2">
      <c r="A16" s="30" t="s">
        <v>142</v>
      </c>
      <c r="B16" s="16" t="s">
        <v>143</v>
      </c>
      <c r="C16" s="16"/>
      <c r="D16" s="17" t="s">
        <v>144</v>
      </c>
      <c r="E16" s="15">
        <f t="shared" ref="E16:P16" si="2">E17+E18</f>
        <v>13134901</v>
      </c>
      <c r="F16" s="15">
        <f t="shared" si="2"/>
        <v>13134901</v>
      </c>
      <c r="G16" s="15">
        <f t="shared" si="2"/>
        <v>9850154</v>
      </c>
      <c r="H16" s="15">
        <f t="shared" si="2"/>
        <v>453162</v>
      </c>
      <c r="I16" s="15">
        <f t="shared" si="2"/>
        <v>0</v>
      </c>
      <c r="J16" s="15">
        <f t="shared" si="2"/>
        <v>50000</v>
      </c>
      <c r="K16" s="15">
        <f t="shared" si="2"/>
        <v>50000</v>
      </c>
      <c r="L16" s="15">
        <f t="shared" si="2"/>
        <v>0</v>
      </c>
      <c r="M16" s="15">
        <f t="shared" si="2"/>
        <v>0</v>
      </c>
      <c r="N16" s="15">
        <f t="shared" si="2"/>
        <v>0</v>
      </c>
      <c r="O16" s="15">
        <f t="shared" si="2"/>
        <v>50000</v>
      </c>
      <c r="P16" s="15">
        <f t="shared" si="2"/>
        <v>13184901</v>
      </c>
      <c r="Q16" s="70"/>
    </row>
    <row r="17" spans="1:17" ht="70.150000000000006" customHeight="1" x14ac:dyDescent="0.2">
      <c r="A17" s="28" t="s">
        <v>57</v>
      </c>
      <c r="B17" s="13" t="s">
        <v>24</v>
      </c>
      <c r="C17" s="13" t="s">
        <v>8</v>
      </c>
      <c r="D17" s="22" t="s">
        <v>25</v>
      </c>
      <c r="E17" s="54">
        <f>F17</f>
        <v>13084901</v>
      </c>
      <c r="F17" s="54">
        <v>13084901</v>
      </c>
      <c r="G17" s="54">
        <f>[2]загальний!$D$8</f>
        <v>9850154</v>
      </c>
      <c r="H17" s="54">
        <v>453162</v>
      </c>
      <c r="I17" s="14"/>
      <c r="J17" s="54">
        <f>[2]спецфонд!$D$5</f>
        <v>50000</v>
      </c>
      <c r="K17" s="54">
        <v>50000</v>
      </c>
      <c r="L17" s="54">
        <f>M17+N17</f>
        <v>0</v>
      </c>
      <c r="M17" s="54"/>
      <c r="N17" s="54"/>
      <c r="O17" s="54">
        <f>[2]спецфонд!$D$41</f>
        <v>50000</v>
      </c>
      <c r="P17" s="18">
        <f t="shared" ref="P17:P37" si="3">E17+J17</f>
        <v>13134901</v>
      </c>
      <c r="Q17" s="69"/>
    </row>
    <row r="18" spans="1:17" ht="29.45" customHeight="1" x14ac:dyDescent="0.2">
      <c r="A18" s="28" t="s">
        <v>140</v>
      </c>
      <c r="B18" s="13" t="s">
        <v>109</v>
      </c>
      <c r="C18" s="13" t="s">
        <v>141</v>
      </c>
      <c r="D18" s="22" t="s">
        <v>139</v>
      </c>
      <c r="E18" s="54">
        <f>F18</f>
        <v>50000</v>
      </c>
      <c r="F18" s="54">
        <v>50000</v>
      </c>
      <c r="G18" s="54"/>
      <c r="H18" s="54"/>
      <c r="I18" s="14"/>
      <c r="J18" s="54"/>
      <c r="K18" s="54"/>
      <c r="L18" s="54"/>
      <c r="M18" s="54"/>
      <c r="N18" s="54"/>
      <c r="O18" s="54"/>
      <c r="P18" s="18">
        <f t="shared" si="3"/>
        <v>50000</v>
      </c>
      <c r="Q18" s="69"/>
    </row>
    <row r="19" spans="1:17" s="68" customFormat="1" ht="27" customHeight="1" x14ac:dyDescent="0.2">
      <c r="A19" s="30" t="s">
        <v>58</v>
      </c>
      <c r="B19" s="16" t="s">
        <v>27</v>
      </c>
      <c r="C19" s="16"/>
      <c r="D19" s="17" t="s">
        <v>28</v>
      </c>
      <c r="E19" s="18">
        <f>E20+E21</f>
        <v>33709500</v>
      </c>
      <c r="F19" s="18">
        <f>F20+F21</f>
        <v>33709500</v>
      </c>
      <c r="G19" s="18">
        <f>G20+G21</f>
        <v>20672865</v>
      </c>
      <c r="H19" s="18">
        <f>H20+H21</f>
        <v>3863270</v>
      </c>
      <c r="I19" s="15"/>
      <c r="J19" s="15">
        <f>L19+O19</f>
        <v>2746102</v>
      </c>
      <c r="K19" s="18">
        <f>K20+K21</f>
        <v>96060</v>
      </c>
      <c r="L19" s="18">
        <f>L20+L21</f>
        <v>2650042</v>
      </c>
      <c r="M19" s="18"/>
      <c r="N19" s="18"/>
      <c r="O19" s="18">
        <f>O20+O21</f>
        <v>96060</v>
      </c>
      <c r="P19" s="18">
        <f t="shared" si="3"/>
        <v>36455602</v>
      </c>
      <c r="Q19" s="70"/>
    </row>
    <row r="20" spans="1:17" s="68" customFormat="1" ht="27" customHeight="1" x14ac:dyDescent="0.2">
      <c r="A20" s="26" t="s">
        <v>59</v>
      </c>
      <c r="B20" s="19">
        <v>1010</v>
      </c>
      <c r="C20" s="13" t="s">
        <v>11</v>
      </c>
      <c r="D20" s="20" t="s">
        <v>26</v>
      </c>
      <c r="E20" s="14">
        <v>33709500</v>
      </c>
      <c r="F20" s="14">
        <v>33709500</v>
      </c>
      <c r="G20" s="14">
        <v>20672865</v>
      </c>
      <c r="H20" s="14">
        <v>3863270</v>
      </c>
      <c r="I20" s="15"/>
      <c r="J20" s="15">
        <f>L20+O20</f>
        <v>2746102</v>
      </c>
      <c r="K20" s="15">
        <f>529360-500000+18600+10000+38100</f>
        <v>96060</v>
      </c>
      <c r="L20" s="15">
        <f>[2]спецфонд!$F$12</f>
        <v>2650042</v>
      </c>
      <c r="M20" s="14"/>
      <c r="N20" s="14"/>
      <c r="O20" s="15">
        <f>529360+18600-500000+10000+38100</f>
        <v>96060</v>
      </c>
      <c r="P20" s="18">
        <f t="shared" si="3"/>
        <v>36455602</v>
      </c>
      <c r="Q20" s="70"/>
    </row>
    <row r="21" spans="1:17" s="68" customFormat="1" ht="31.9" customHeight="1" x14ac:dyDescent="0.2">
      <c r="A21" s="26" t="s">
        <v>60</v>
      </c>
      <c r="B21" s="19">
        <v>1140</v>
      </c>
      <c r="C21" s="13" t="s">
        <v>29</v>
      </c>
      <c r="D21" s="20" t="s">
        <v>30</v>
      </c>
      <c r="E21" s="14">
        <v>0</v>
      </c>
      <c r="F21" s="14">
        <v>0</v>
      </c>
      <c r="G21" s="14"/>
      <c r="H21" s="14"/>
      <c r="I21" s="15"/>
      <c r="J21" s="15"/>
      <c r="K21" s="15"/>
      <c r="L21" s="15"/>
      <c r="M21" s="14"/>
      <c r="N21" s="14"/>
      <c r="O21" s="15"/>
      <c r="P21" s="18">
        <f t="shared" si="3"/>
        <v>0</v>
      </c>
      <c r="Q21" s="70"/>
    </row>
    <row r="22" spans="1:17" s="68" customFormat="1" ht="27" customHeight="1" x14ac:dyDescent="0.2">
      <c r="A22" s="26" t="s">
        <v>61</v>
      </c>
      <c r="B22" s="21">
        <v>3000</v>
      </c>
      <c r="C22" s="13"/>
      <c r="D22" s="17" t="s">
        <v>12</v>
      </c>
      <c r="E22" s="15">
        <f>SUM(E23:E26)</f>
        <v>1228807</v>
      </c>
      <c r="F22" s="15">
        <f>SUM(F23:F26)</f>
        <v>1228807</v>
      </c>
      <c r="G22" s="15">
        <f>SUM(G23:G26)</f>
        <v>13202</v>
      </c>
      <c r="H22" s="15">
        <f t="shared" ref="H22:O22" si="4">H23+H25+H26</f>
        <v>0</v>
      </c>
      <c r="I22" s="15">
        <f t="shared" si="4"/>
        <v>0</v>
      </c>
      <c r="J22" s="15">
        <f t="shared" si="4"/>
        <v>0</v>
      </c>
      <c r="K22" s="15">
        <f t="shared" si="4"/>
        <v>0</v>
      </c>
      <c r="L22" s="15">
        <f t="shared" si="4"/>
        <v>0</v>
      </c>
      <c r="M22" s="15">
        <f t="shared" si="4"/>
        <v>0</v>
      </c>
      <c r="N22" s="15">
        <f t="shared" si="4"/>
        <v>0</v>
      </c>
      <c r="O22" s="15">
        <f t="shared" si="4"/>
        <v>0</v>
      </c>
      <c r="P22" s="18">
        <f t="shared" si="3"/>
        <v>1228807</v>
      </c>
      <c r="Q22" s="70"/>
    </row>
    <row r="23" spans="1:17" s="68" customFormat="1" ht="27" customHeight="1" x14ac:dyDescent="0.2">
      <c r="A23" s="26" t="s">
        <v>76</v>
      </c>
      <c r="B23" s="19">
        <v>3090</v>
      </c>
      <c r="C23" s="13" t="s">
        <v>77</v>
      </c>
      <c r="D23" s="22" t="s">
        <v>86</v>
      </c>
      <c r="E23" s="14">
        <f>F23</f>
        <v>30000</v>
      </c>
      <c r="F23" s="14">
        <f>[2]загальний!$H$5</f>
        <v>30000</v>
      </c>
      <c r="G23" s="15"/>
      <c r="H23" s="15"/>
      <c r="I23" s="15"/>
      <c r="J23" s="15"/>
      <c r="K23" s="15"/>
      <c r="L23" s="15"/>
      <c r="M23" s="15"/>
      <c r="N23" s="15"/>
      <c r="O23" s="15"/>
      <c r="P23" s="18">
        <f t="shared" si="3"/>
        <v>30000</v>
      </c>
      <c r="Q23" s="70"/>
    </row>
    <row r="24" spans="1:17" s="68" customFormat="1" ht="59.45" customHeight="1" x14ac:dyDescent="0.2">
      <c r="A24" s="26" t="s">
        <v>92</v>
      </c>
      <c r="B24" s="19">
        <v>3140</v>
      </c>
      <c r="C24" s="13" t="s">
        <v>93</v>
      </c>
      <c r="D24" s="22" t="s">
        <v>110</v>
      </c>
      <c r="E24" s="14">
        <f>F24</f>
        <v>0</v>
      </c>
      <c r="F24" s="14">
        <f>53800-53800</f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8">
        <f t="shared" si="3"/>
        <v>0</v>
      </c>
      <c r="Q24" s="70"/>
    </row>
    <row r="25" spans="1:17" s="68" customFormat="1" ht="27" customHeight="1" x14ac:dyDescent="0.2">
      <c r="A25" s="26" t="s">
        <v>62</v>
      </c>
      <c r="B25" s="19">
        <v>3210</v>
      </c>
      <c r="C25" s="13" t="s">
        <v>22</v>
      </c>
      <c r="D25" s="22" t="s">
        <v>23</v>
      </c>
      <c r="E25" s="14">
        <f>F25</f>
        <v>16107</v>
      </c>
      <c r="F25" s="14">
        <v>16107</v>
      </c>
      <c r="G25" s="14">
        <v>13202</v>
      </c>
      <c r="H25" s="14"/>
      <c r="I25" s="15"/>
      <c r="J25" s="15"/>
      <c r="K25" s="14"/>
      <c r="L25" s="15"/>
      <c r="M25" s="14"/>
      <c r="N25" s="14"/>
      <c r="O25" s="15"/>
      <c r="P25" s="18">
        <f t="shared" si="3"/>
        <v>16107</v>
      </c>
      <c r="Q25" s="70"/>
    </row>
    <row r="26" spans="1:17" s="68" customFormat="1" ht="27" customHeight="1" x14ac:dyDescent="0.2">
      <c r="A26" s="26" t="s">
        <v>63</v>
      </c>
      <c r="B26" s="19">
        <v>3242</v>
      </c>
      <c r="C26" s="13" t="s">
        <v>13</v>
      </c>
      <c r="D26" s="22" t="s">
        <v>44</v>
      </c>
      <c r="E26" s="14">
        <f>F26</f>
        <v>1182700</v>
      </c>
      <c r="F26" s="14">
        <f>932700+200000+50000</f>
        <v>1182700</v>
      </c>
      <c r="G26" s="15"/>
      <c r="H26" s="15"/>
      <c r="I26" s="15"/>
      <c r="J26" s="15">
        <f>L26+O26</f>
        <v>0</v>
      </c>
      <c r="K26" s="15"/>
      <c r="L26" s="15">
        <f>M26+N26</f>
        <v>0</v>
      </c>
      <c r="M26" s="15"/>
      <c r="N26" s="15"/>
      <c r="O26" s="15"/>
      <c r="P26" s="18">
        <f t="shared" si="3"/>
        <v>1182700</v>
      </c>
      <c r="Q26" s="70"/>
    </row>
    <row r="27" spans="1:17" s="68" customFormat="1" ht="27" customHeight="1" x14ac:dyDescent="0.2">
      <c r="A27" s="26" t="s">
        <v>64</v>
      </c>
      <c r="B27" s="21">
        <v>4000</v>
      </c>
      <c r="C27" s="16"/>
      <c r="D27" s="17" t="s">
        <v>14</v>
      </c>
      <c r="E27" s="15">
        <f>E28+E29+E30</f>
        <v>2658031</v>
      </c>
      <c r="F27" s="15">
        <f>F28+F29+F30</f>
        <v>2658031</v>
      </c>
      <c r="G27" s="15">
        <f>G28+G29+G30</f>
        <v>1398489</v>
      </c>
      <c r="H27" s="15">
        <f>H28+H29+H30</f>
        <v>215773</v>
      </c>
      <c r="I27" s="15"/>
      <c r="J27" s="15">
        <f>J28+J29+J30</f>
        <v>156400</v>
      </c>
      <c r="K27" s="15">
        <f>K28+K30</f>
        <v>124400</v>
      </c>
      <c r="L27" s="15">
        <f>L28+L30</f>
        <v>32000</v>
      </c>
      <c r="M27" s="15">
        <f>M28+M30</f>
        <v>0</v>
      </c>
      <c r="N27" s="15">
        <f>N28+N30</f>
        <v>0</v>
      </c>
      <c r="O27" s="15">
        <f>O28+O30</f>
        <v>124400</v>
      </c>
      <c r="P27" s="18">
        <f t="shared" si="3"/>
        <v>2814431</v>
      </c>
      <c r="Q27" s="70"/>
    </row>
    <row r="28" spans="1:17" s="68" customFormat="1" ht="27" customHeight="1" x14ac:dyDescent="0.2">
      <c r="A28" s="26" t="s">
        <v>65</v>
      </c>
      <c r="B28" s="19">
        <v>4060</v>
      </c>
      <c r="C28" s="13" t="s">
        <v>15</v>
      </c>
      <c r="D28" s="23" t="s">
        <v>41</v>
      </c>
      <c r="E28" s="14">
        <f>F28</f>
        <v>2188400</v>
      </c>
      <c r="F28" s="14">
        <v>2188400</v>
      </c>
      <c r="G28" s="14">
        <f>[2]загальний!$L$9</f>
        <v>1313301</v>
      </c>
      <c r="H28" s="14">
        <v>205971</v>
      </c>
      <c r="I28" s="15"/>
      <c r="J28" s="15">
        <f>L28+O28</f>
        <v>40000</v>
      </c>
      <c r="K28" s="15">
        <f>18000-10000</f>
        <v>8000</v>
      </c>
      <c r="L28" s="15">
        <f>[2]спецфонд!$L$6</f>
        <v>32000</v>
      </c>
      <c r="M28" s="15"/>
      <c r="N28" s="15"/>
      <c r="O28" s="15">
        <f>18000-10000</f>
        <v>8000</v>
      </c>
      <c r="P28" s="18">
        <f t="shared" si="3"/>
        <v>2228400</v>
      </c>
      <c r="Q28" s="70"/>
    </row>
    <row r="29" spans="1:17" s="68" customFormat="1" ht="27" customHeight="1" x14ac:dyDescent="0.2">
      <c r="A29" s="26" t="s">
        <v>66</v>
      </c>
      <c r="B29" s="19">
        <v>4081</v>
      </c>
      <c r="C29" s="13" t="s">
        <v>31</v>
      </c>
      <c r="D29" s="23" t="s">
        <v>45</v>
      </c>
      <c r="E29" s="14">
        <f>F29</f>
        <v>123731</v>
      </c>
      <c r="F29" s="14">
        <f>[2]загальний!$M$5</f>
        <v>123731</v>
      </c>
      <c r="G29" s="14">
        <f>[2]загальний!$M$8</f>
        <v>85188</v>
      </c>
      <c r="H29" s="14">
        <f>[2]загальний!$M$19</f>
        <v>9802</v>
      </c>
      <c r="I29" s="15"/>
      <c r="J29" s="15"/>
      <c r="K29" s="15"/>
      <c r="L29" s="15"/>
      <c r="M29" s="15"/>
      <c r="N29" s="15"/>
      <c r="O29" s="15"/>
      <c r="P29" s="18">
        <f t="shared" si="3"/>
        <v>123731</v>
      </c>
      <c r="Q29" s="70"/>
    </row>
    <row r="30" spans="1:17" s="68" customFormat="1" ht="27" customHeight="1" x14ac:dyDescent="0.2">
      <c r="A30" s="26" t="s">
        <v>67</v>
      </c>
      <c r="B30" s="19">
        <v>4082</v>
      </c>
      <c r="C30" s="13" t="s">
        <v>31</v>
      </c>
      <c r="D30" s="23" t="s">
        <v>46</v>
      </c>
      <c r="E30" s="14">
        <f>F30</f>
        <v>345900</v>
      </c>
      <c r="F30" s="14">
        <f>289500+56400</f>
        <v>345900</v>
      </c>
      <c r="G30" s="14"/>
      <c r="H30" s="14"/>
      <c r="I30" s="15"/>
      <c r="J30" s="15">
        <f>L30+O30</f>
        <v>116400</v>
      </c>
      <c r="K30" s="15">
        <v>116400</v>
      </c>
      <c r="L30" s="15"/>
      <c r="M30" s="15"/>
      <c r="N30" s="15"/>
      <c r="O30" s="15">
        <v>116400</v>
      </c>
      <c r="P30" s="18">
        <f t="shared" si="3"/>
        <v>462300</v>
      </c>
      <c r="Q30" s="70"/>
    </row>
    <row r="31" spans="1:17" s="68" customFormat="1" ht="27" customHeight="1" x14ac:dyDescent="0.2">
      <c r="A31" s="26" t="s">
        <v>68</v>
      </c>
      <c r="B31" s="21">
        <v>5000</v>
      </c>
      <c r="C31" s="13"/>
      <c r="D31" s="17" t="s">
        <v>16</v>
      </c>
      <c r="E31" s="15">
        <f>E32</f>
        <v>588068</v>
      </c>
      <c r="F31" s="15">
        <f>F32</f>
        <v>588068</v>
      </c>
      <c r="G31" s="15">
        <f>G32</f>
        <v>324936</v>
      </c>
      <c r="H31" s="15">
        <f>H32</f>
        <v>64852</v>
      </c>
      <c r="I31" s="15"/>
      <c r="J31" s="15">
        <f t="shared" ref="J31:O31" si="5">J32</f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8">
        <f t="shared" si="3"/>
        <v>588068</v>
      </c>
      <c r="Q31" s="70"/>
    </row>
    <row r="32" spans="1:17" ht="39" customHeight="1" x14ac:dyDescent="0.2">
      <c r="A32" s="28" t="s">
        <v>69</v>
      </c>
      <c r="B32" s="19">
        <v>5061</v>
      </c>
      <c r="C32" s="13" t="s">
        <v>17</v>
      </c>
      <c r="D32" s="23" t="s">
        <v>21</v>
      </c>
      <c r="E32" s="14">
        <f>F32</f>
        <v>588068</v>
      </c>
      <c r="F32" s="14">
        <f>[2]загальний!$O$5</f>
        <v>588068</v>
      </c>
      <c r="G32" s="14">
        <f>[2]загальний!$O$8</f>
        <v>324936</v>
      </c>
      <c r="H32" s="14">
        <f>[2]загальний!$O$19</f>
        <v>64852</v>
      </c>
      <c r="I32" s="15"/>
      <c r="J32" s="15">
        <f>L32+O32</f>
        <v>0</v>
      </c>
      <c r="K32" s="15"/>
      <c r="L32" s="15">
        <f>M32+N32</f>
        <v>0</v>
      </c>
      <c r="M32" s="15"/>
      <c r="N32" s="15"/>
      <c r="O32" s="15"/>
      <c r="P32" s="18">
        <f t="shared" si="3"/>
        <v>588068</v>
      </c>
      <c r="Q32" s="69"/>
    </row>
    <row r="33" spans="1:17" s="68" customFormat="1" ht="27" customHeight="1" x14ac:dyDescent="0.2">
      <c r="A33" s="26" t="s">
        <v>70</v>
      </c>
      <c r="B33" s="21">
        <v>6000</v>
      </c>
      <c r="C33" s="13"/>
      <c r="D33" s="17" t="s">
        <v>18</v>
      </c>
      <c r="E33" s="15">
        <f>E34+E35</f>
        <v>12474798</v>
      </c>
      <c r="F33" s="15">
        <f>F34+F35</f>
        <v>12474798</v>
      </c>
      <c r="G33" s="15">
        <f>G34+G35</f>
        <v>0</v>
      </c>
      <c r="H33" s="15">
        <f>H34+H35</f>
        <v>2217847</v>
      </c>
      <c r="I33" s="15"/>
      <c r="J33" s="15">
        <f>L33+O33</f>
        <v>2662160</v>
      </c>
      <c r="K33" s="15">
        <f>K34+K35</f>
        <v>2662160</v>
      </c>
      <c r="L33" s="15">
        <f>L34+L35</f>
        <v>0</v>
      </c>
      <c r="M33" s="15">
        <f>M34+M35</f>
        <v>0</v>
      </c>
      <c r="N33" s="15">
        <f>N34+N35</f>
        <v>0</v>
      </c>
      <c r="O33" s="15">
        <f>O34+O35</f>
        <v>2662160</v>
      </c>
      <c r="P33" s="18">
        <f t="shared" si="3"/>
        <v>15136958</v>
      </c>
      <c r="Q33" s="70"/>
    </row>
    <row r="34" spans="1:17" s="68" customFormat="1" ht="27" customHeight="1" x14ac:dyDescent="0.2">
      <c r="A34" s="26" t="s">
        <v>71</v>
      </c>
      <c r="B34" s="19">
        <v>6011</v>
      </c>
      <c r="C34" s="13" t="s">
        <v>129</v>
      </c>
      <c r="D34" s="23" t="s">
        <v>35</v>
      </c>
      <c r="E34" s="14">
        <f>F34</f>
        <v>0</v>
      </c>
      <c r="F34" s="14">
        <f>[2]загальний!$Q$5</f>
        <v>0</v>
      </c>
      <c r="G34" s="14"/>
      <c r="H34" s="14"/>
      <c r="I34" s="15"/>
      <c r="J34" s="15">
        <f>L34+O34</f>
        <v>2060000</v>
      </c>
      <c r="K34" s="14">
        <f>1800000+200000+60000</f>
        <v>2060000</v>
      </c>
      <c r="L34" s="15">
        <f>M34+N34</f>
        <v>0</v>
      </c>
      <c r="M34" s="15"/>
      <c r="N34" s="15"/>
      <c r="O34" s="15">
        <f>1800000+200000+60000</f>
        <v>2060000</v>
      </c>
      <c r="P34" s="18">
        <f t="shared" si="3"/>
        <v>2060000</v>
      </c>
      <c r="Q34" s="70"/>
    </row>
    <row r="35" spans="1:17" s="68" customFormat="1" ht="27" customHeight="1" x14ac:dyDescent="0.2">
      <c r="A35" s="26" t="s">
        <v>72</v>
      </c>
      <c r="B35" s="19">
        <v>6030</v>
      </c>
      <c r="C35" s="13" t="s">
        <v>19</v>
      </c>
      <c r="D35" s="22" t="s">
        <v>32</v>
      </c>
      <c r="E35" s="14">
        <f>F35</f>
        <v>12474798</v>
      </c>
      <c r="F35" s="14">
        <f>11433887+470000+122514+300000+200000-39723+7416-19296</f>
        <v>12474798</v>
      </c>
      <c r="G35" s="14"/>
      <c r="H35" s="14">
        <v>2217847</v>
      </c>
      <c r="I35" s="15"/>
      <c r="J35" s="15">
        <f>L35+O35</f>
        <v>602160</v>
      </c>
      <c r="K35" s="14">
        <f>787000-100000-300000+850000+140000-850000+75160</f>
        <v>602160</v>
      </c>
      <c r="L35" s="15">
        <f>M35+N35</f>
        <v>0</v>
      </c>
      <c r="M35" s="15"/>
      <c r="N35" s="15"/>
      <c r="O35" s="15">
        <f>687000-300000+850000+140000-850000+75160</f>
        <v>602160</v>
      </c>
      <c r="P35" s="18">
        <f t="shared" si="3"/>
        <v>13076958</v>
      </c>
      <c r="Q35" s="70"/>
    </row>
    <row r="36" spans="1:17" s="68" customFormat="1" ht="34.9" customHeight="1" x14ac:dyDescent="0.2">
      <c r="A36" s="26" t="s">
        <v>95</v>
      </c>
      <c r="B36" s="21">
        <v>7100</v>
      </c>
      <c r="C36" s="13"/>
      <c r="D36" s="17" t="s">
        <v>47</v>
      </c>
      <c r="E36" s="15">
        <f t="shared" ref="E36:O36" si="6">E37</f>
        <v>134680</v>
      </c>
      <c r="F36" s="15">
        <f t="shared" si="6"/>
        <v>134680</v>
      </c>
      <c r="G36" s="15">
        <f t="shared" si="6"/>
        <v>0</v>
      </c>
      <c r="H36" s="15">
        <f t="shared" si="6"/>
        <v>0</v>
      </c>
      <c r="I36" s="15">
        <f t="shared" si="6"/>
        <v>0</v>
      </c>
      <c r="J36" s="15">
        <f t="shared" si="6"/>
        <v>30375</v>
      </c>
      <c r="K36" s="15">
        <f t="shared" si="6"/>
        <v>0</v>
      </c>
      <c r="L36" s="15">
        <f t="shared" si="6"/>
        <v>30375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8">
        <f t="shared" si="3"/>
        <v>165055</v>
      </c>
      <c r="Q36" s="70"/>
    </row>
    <row r="37" spans="1:17" s="68" customFormat="1" ht="27" customHeight="1" x14ac:dyDescent="0.2">
      <c r="A37" s="26" t="s">
        <v>94</v>
      </c>
      <c r="B37" s="19">
        <v>7130</v>
      </c>
      <c r="C37" s="13" t="s">
        <v>48</v>
      </c>
      <c r="D37" s="22" t="s">
        <v>49</v>
      </c>
      <c r="E37" s="14">
        <f>F37</f>
        <v>134680</v>
      </c>
      <c r="F37" s="14">
        <f>81455+82000-28775</f>
        <v>134680</v>
      </c>
      <c r="G37" s="14"/>
      <c r="H37" s="14"/>
      <c r="I37" s="15"/>
      <c r="J37" s="15">
        <f>L37+O37</f>
        <v>30375</v>
      </c>
      <c r="K37" s="14"/>
      <c r="L37" s="15">
        <f>5000+15000+10375</f>
        <v>30375</v>
      </c>
      <c r="M37" s="15"/>
      <c r="N37" s="15"/>
      <c r="O37" s="15"/>
      <c r="P37" s="18">
        <f t="shared" si="3"/>
        <v>165055</v>
      </c>
      <c r="Q37" s="70"/>
    </row>
    <row r="38" spans="1:17" s="68" customFormat="1" ht="27" customHeight="1" x14ac:dyDescent="0.2">
      <c r="A38" s="26" t="s">
        <v>73</v>
      </c>
      <c r="B38" s="21">
        <v>7300</v>
      </c>
      <c r="C38" s="13"/>
      <c r="D38" s="17" t="s">
        <v>33</v>
      </c>
      <c r="E38" s="15">
        <f>E39+E41+E42</f>
        <v>49723</v>
      </c>
      <c r="F38" s="15">
        <f>F39+F41+F42</f>
        <v>49723</v>
      </c>
      <c r="G38" s="15">
        <f>G39+G41</f>
        <v>0</v>
      </c>
      <c r="H38" s="15">
        <f>H39+H41</f>
        <v>0</v>
      </c>
      <c r="I38" s="15"/>
      <c r="J38" s="15">
        <f>J39+J41+J40+J42</f>
        <v>50380881</v>
      </c>
      <c r="K38" s="15">
        <f>K39+K41+K40+K42</f>
        <v>50380881</v>
      </c>
      <c r="L38" s="15">
        <f>L39+L41</f>
        <v>0</v>
      </c>
      <c r="M38" s="15">
        <f>M39+M41</f>
        <v>0</v>
      </c>
      <c r="N38" s="15">
        <f>N39+N41</f>
        <v>0</v>
      </c>
      <c r="O38" s="15">
        <f>O39+O41+O40+O42</f>
        <v>50380881</v>
      </c>
      <c r="P38" s="15">
        <f>P39+P41+P40+P42</f>
        <v>50430604</v>
      </c>
      <c r="Q38" s="70"/>
    </row>
    <row r="39" spans="1:17" s="68" customFormat="1" ht="36" customHeight="1" x14ac:dyDescent="0.2">
      <c r="A39" s="26" t="s">
        <v>74</v>
      </c>
      <c r="B39" s="19">
        <v>7310</v>
      </c>
      <c r="C39" s="13" t="s">
        <v>36</v>
      </c>
      <c r="D39" s="22" t="s">
        <v>37</v>
      </c>
      <c r="E39" s="14">
        <f>F39</f>
        <v>0</v>
      </c>
      <c r="F39" s="15"/>
      <c r="G39" s="15"/>
      <c r="H39" s="15"/>
      <c r="I39" s="15"/>
      <c r="J39" s="15">
        <f>L39+O39</f>
        <v>3309000</v>
      </c>
      <c r="K39" s="14">
        <f>3250000+59000</f>
        <v>3309000</v>
      </c>
      <c r="L39" s="15">
        <f>M39+N39</f>
        <v>0</v>
      </c>
      <c r="M39" s="15"/>
      <c r="N39" s="15"/>
      <c r="O39" s="15">
        <f>3250000+59000</f>
        <v>3309000</v>
      </c>
      <c r="P39" s="18">
        <f t="shared" ref="P39:P53" si="7">E39+J39</f>
        <v>3309000</v>
      </c>
      <c r="Q39" s="70"/>
    </row>
    <row r="40" spans="1:17" s="68" customFormat="1" ht="27" customHeight="1" x14ac:dyDescent="0.2">
      <c r="A40" s="26" t="s">
        <v>130</v>
      </c>
      <c r="B40" s="19">
        <v>7321</v>
      </c>
      <c r="C40" s="13" t="s">
        <v>36</v>
      </c>
      <c r="D40" s="22" t="s">
        <v>131</v>
      </c>
      <c r="E40" s="14"/>
      <c r="F40" s="15"/>
      <c r="G40" s="15"/>
      <c r="H40" s="15"/>
      <c r="I40" s="15"/>
      <c r="J40" s="15">
        <f>L40+O40</f>
        <v>12790725</v>
      </c>
      <c r="K40" s="14">
        <f>18090725-5300000</f>
        <v>12790725</v>
      </c>
      <c r="L40" s="15"/>
      <c r="M40" s="15"/>
      <c r="N40" s="15"/>
      <c r="O40" s="15">
        <f>18090725-5300000</f>
        <v>12790725</v>
      </c>
      <c r="P40" s="18">
        <f t="shared" si="7"/>
        <v>12790725</v>
      </c>
      <c r="Q40" s="70"/>
    </row>
    <row r="41" spans="1:17" s="68" customFormat="1" ht="31.15" customHeight="1" x14ac:dyDescent="0.2">
      <c r="A41" s="26" t="s">
        <v>75</v>
      </c>
      <c r="B41" s="19">
        <v>7330</v>
      </c>
      <c r="C41" s="13" t="s">
        <v>36</v>
      </c>
      <c r="D41" s="22" t="s">
        <v>42</v>
      </c>
      <c r="E41" s="14">
        <f>F41</f>
        <v>0</v>
      </c>
      <c r="F41" s="15"/>
      <c r="G41" s="15"/>
      <c r="H41" s="15"/>
      <c r="I41" s="15"/>
      <c r="J41" s="15">
        <f>L41+O41</f>
        <v>34281156</v>
      </c>
      <c r="K41" s="14">
        <f>10986918-200000-300000-1620000+10570430+4590000+3365000+3730000+500000+1300000+1392127-33319</f>
        <v>34281156</v>
      </c>
      <c r="L41" s="15"/>
      <c r="M41" s="15"/>
      <c r="N41" s="15"/>
      <c r="O41" s="15">
        <f>10986918-200000-300000-1620000+10570430+4590000+3365000+3730000+500000+1300000+1392127-33319</f>
        <v>34281156</v>
      </c>
      <c r="P41" s="18">
        <f t="shared" si="7"/>
        <v>34281156</v>
      </c>
      <c r="Q41" s="70"/>
    </row>
    <row r="42" spans="1:17" s="68" customFormat="1" ht="31.9" customHeight="1" x14ac:dyDescent="0.2">
      <c r="A42" s="26" t="s">
        <v>155</v>
      </c>
      <c r="B42" s="19">
        <v>7370</v>
      </c>
      <c r="C42" s="13" t="s">
        <v>9</v>
      </c>
      <c r="D42" s="22" t="s">
        <v>156</v>
      </c>
      <c r="E42" s="14">
        <f>F42</f>
        <v>49723</v>
      </c>
      <c r="F42" s="15">
        <f>39723+10000</f>
        <v>49723</v>
      </c>
      <c r="G42" s="15"/>
      <c r="H42" s="15"/>
      <c r="I42" s="15"/>
      <c r="J42" s="15"/>
      <c r="K42" s="14"/>
      <c r="L42" s="15"/>
      <c r="M42" s="15"/>
      <c r="N42" s="15"/>
      <c r="O42" s="15"/>
      <c r="P42" s="18">
        <f t="shared" si="7"/>
        <v>49723</v>
      </c>
      <c r="Q42" s="70"/>
    </row>
    <row r="43" spans="1:17" s="68" customFormat="1" ht="43.15" customHeight="1" x14ac:dyDescent="0.2">
      <c r="A43" s="26" t="s">
        <v>83</v>
      </c>
      <c r="B43" s="21">
        <v>7600</v>
      </c>
      <c r="C43" s="13"/>
      <c r="D43" s="17" t="s">
        <v>34</v>
      </c>
      <c r="E43" s="15">
        <f t="shared" ref="E43:O43" si="8">E44</f>
        <v>272000</v>
      </c>
      <c r="F43" s="15">
        <f t="shared" si="8"/>
        <v>272000</v>
      </c>
      <c r="G43" s="15">
        <f t="shared" si="8"/>
        <v>0</v>
      </c>
      <c r="H43" s="15">
        <f t="shared" si="8"/>
        <v>0</v>
      </c>
      <c r="I43" s="15">
        <f t="shared" si="8"/>
        <v>0</v>
      </c>
      <c r="J43" s="15">
        <f t="shared" si="8"/>
        <v>0</v>
      </c>
      <c r="K43" s="15">
        <f t="shared" si="8"/>
        <v>0</v>
      </c>
      <c r="L43" s="15">
        <f t="shared" si="8"/>
        <v>0</v>
      </c>
      <c r="M43" s="15">
        <f t="shared" si="8"/>
        <v>0</v>
      </c>
      <c r="N43" s="15">
        <f t="shared" si="8"/>
        <v>0</v>
      </c>
      <c r="O43" s="15">
        <f t="shared" si="8"/>
        <v>0</v>
      </c>
      <c r="P43" s="18">
        <f t="shared" si="7"/>
        <v>272000</v>
      </c>
      <c r="Q43" s="70"/>
    </row>
    <row r="44" spans="1:17" s="68" customFormat="1" ht="27" customHeight="1" x14ac:dyDescent="0.2">
      <c r="A44" s="26" t="s">
        <v>82</v>
      </c>
      <c r="B44" s="19">
        <v>7693</v>
      </c>
      <c r="C44" s="13" t="s">
        <v>9</v>
      </c>
      <c r="D44" s="22" t="s">
        <v>115</v>
      </c>
      <c r="E44" s="14">
        <f>F44</f>
        <v>272000</v>
      </c>
      <c r="F44" s="14">
        <f>72000+200000</f>
        <v>272000</v>
      </c>
      <c r="G44" s="15"/>
      <c r="H44" s="15"/>
      <c r="I44" s="15"/>
      <c r="J44" s="15">
        <f>L44+O44</f>
        <v>0</v>
      </c>
      <c r="K44" s="15"/>
      <c r="L44" s="15"/>
      <c r="M44" s="15"/>
      <c r="N44" s="15"/>
      <c r="O44" s="15"/>
      <c r="P44" s="18">
        <f t="shared" si="7"/>
        <v>272000</v>
      </c>
      <c r="Q44" s="70"/>
    </row>
    <row r="45" spans="1:17" s="68" customFormat="1" ht="33" customHeight="1" x14ac:dyDescent="0.2">
      <c r="A45" s="26" t="s">
        <v>133</v>
      </c>
      <c r="B45" s="21">
        <v>8100</v>
      </c>
      <c r="C45" s="13"/>
      <c r="D45" s="17" t="s">
        <v>132</v>
      </c>
      <c r="E45" s="15">
        <f>E46</f>
        <v>478000</v>
      </c>
      <c r="F45" s="15">
        <f>F46</f>
        <v>478000</v>
      </c>
      <c r="G45" s="15"/>
      <c r="H45" s="15"/>
      <c r="I45" s="15"/>
      <c r="J45" s="15"/>
      <c r="K45" s="15"/>
      <c r="L45" s="15"/>
      <c r="M45" s="15"/>
      <c r="N45" s="15"/>
      <c r="O45" s="15"/>
      <c r="P45" s="18">
        <f t="shared" si="7"/>
        <v>478000</v>
      </c>
      <c r="Q45" s="70"/>
    </row>
    <row r="46" spans="1:17" s="68" customFormat="1" ht="40.15" customHeight="1" x14ac:dyDescent="0.2">
      <c r="A46" s="26" t="s">
        <v>134</v>
      </c>
      <c r="B46" s="19">
        <v>8110</v>
      </c>
      <c r="C46" s="13" t="s">
        <v>135</v>
      </c>
      <c r="D46" s="22" t="s">
        <v>136</v>
      </c>
      <c r="E46" s="14">
        <f>F46</f>
        <v>478000</v>
      </c>
      <c r="F46" s="14">
        <f>200000+700000-500000+78000</f>
        <v>478000</v>
      </c>
      <c r="G46" s="15"/>
      <c r="H46" s="15"/>
      <c r="I46" s="15"/>
      <c r="J46" s="15"/>
      <c r="K46" s="15"/>
      <c r="L46" s="15"/>
      <c r="M46" s="15"/>
      <c r="N46" s="15"/>
      <c r="O46" s="15"/>
      <c r="P46" s="18">
        <f t="shared" si="7"/>
        <v>478000</v>
      </c>
      <c r="Q46" s="70"/>
    </row>
    <row r="47" spans="1:17" s="68" customFormat="1" ht="40.15" customHeight="1" x14ac:dyDescent="0.2">
      <c r="A47" s="26" t="s">
        <v>174</v>
      </c>
      <c r="B47" s="21">
        <v>8300</v>
      </c>
      <c r="C47" s="13"/>
      <c r="D47" s="22" t="s">
        <v>173</v>
      </c>
      <c r="E47" s="15">
        <f>E48</f>
        <v>18000</v>
      </c>
      <c r="F47" s="15">
        <f>F48</f>
        <v>18000</v>
      </c>
      <c r="G47" s="15"/>
      <c r="H47" s="15"/>
      <c r="I47" s="15"/>
      <c r="J47" s="15"/>
      <c r="K47" s="15"/>
      <c r="L47" s="15"/>
      <c r="M47" s="15"/>
      <c r="N47" s="15"/>
      <c r="O47" s="15"/>
      <c r="P47" s="18">
        <f>E47+J47</f>
        <v>18000</v>
      </c>
      <c r="Q47" s="70"/>
    </row>
    <row r="48" spans="1:17" s="68" customFormat="1" ht="40.15" customHeight="1" x14ac:dyDescent="0.2">
      <c r="A48" s="26" t="s">
        <v>176</v>
      </c>
      <c r="B48" s="19">
        <v>8230</v>
      </c>
      <c r="C48" s="13" t="s">
        <v>177</v>
      </c>
      <c r="D48" s="22" t="s">
        <v>175</v>
      </c>
      <c r="E48" s="14">
        <f>F48</f>
        <v>18000</v>
      </c>
      <c r="F48" s="14">
        <v>18000</v>
      </c>
      <c r="G48" s="15"/>
      <c r="H48" s="15"/>
      <c r="I48" s="15"/>
      <c r="J48" s="15"/>
      <c r="K48" s="15"/>
      <c r="L48" s="15"/>
      <c r="M48" s="15"/>
      <c r="N48" s="15"/>
      <c r="O48" s="15"/>
      <c r="P48" s="18">
        <f>E48+J48</f>
        <v>18000</v>
      </c>
      <c r="Q48" s="70"/>
    </row>
    <row r="49" spans="1:17" s="68" customFormat="1" ht="27" customHeight="1" x14ac:dyDescent="0.2">
      <c r="A49" s="26" t="s">
        <v>81</v>
      </c>
      <c r="B49" s="21">
        <v>8300</v>
      </c>
      <c r="C49" s="13"/>
      <c r="D49" s="17" t="s">
        <v>38</v>
      </c>
      <c r="E49" s="15">
        <f t="shared" ref="E49:O49" si="9">E50</f>
        <v>0</v>
      </c>
      <c r="F49" s="15">
        <f t="shared" si="9"/>
        <v>0</v>
      </c>
      <c r="G49" s="15">
        <f t="shared" si="9"/>
        <v>0</v>
      </c>
      <c r="H49" s="15">
        <f t="shared" si="9"/>
        <v>0</v>
      </c>
      <c r="I49" s="15">
        <f t="shared" si="9"/>
        <v>0</v>
      </c>
      <c r="J49" s="15">
        <f t="shared" si="9"/>
        <v>320900</v>
      </c>
      <c r="K49" s="15">
        <f t="shared" si="9"/>
        <v>0</v>
      </c>
      <c r="L49" s="15">
        <f t="shared" si="9"/>
        <v>320900</v>
      </c>
      <c r="M49" s="15">
        <f t="shared" si="9"/>
        <v>0</v>
      </c>
      <c r="N49" s="15">
        <f t="shared" si="9"/>
        <v>0</v>
      </c>
      <c r="O49" s="15">
        <f t="shared" si="9"/>
        <v>0</v>
      </c>
      <c r="P49" s="18">
        <f t="shared" si="7"/>
        <v>320900</v>
      </c>
      <c r="Q49" s="70"/>
    </row>
    <row r="50" spans="1:17" s="68" customFormat="1" ht="30" customHeight="1" x14ac:dyDescent="0.2">
      <c r="A50" s="26" t="s">
        <v>80</v>
      </c>
      <c r="B50" s="19">
        <v>8330</v>
      </c>
      <c r="C50" s="13" t="s">
        <v>39</v>
      </c>
      <c r="D50" s="22" t="s">
        <v>114</v>
      </c>
      <c r="E50" s="15">
        <f>F50</f>
        <v>0</v>
      </c>
      <c r="F50" s="15"/>
      <c r="G50" s="15"/>
      <c r="H50" s="15"/>
      <c r="I50" s="15"/>
      <c r="J50" s="15">
        <f>L50+O50</f>
        <v>320900</v>
      </c>
      <c r="K50" s="15"/>
      <c r="L50" s="14">
        <f>[2]спецфонд!$X$5</f>
        <v>320900</v>
      </c>
      <c r="M50" s="15"/>
      <c r="N50" s="15"/>
      <c r="O50" s="15"/>
      <c r="P50" s="18">
        <f t="shared" si="7"/>
        <v>320900</v>
      </c>
      <c r="Q50" s="70"/>
    </row>
    <row r="51" spans="1:17" s="68" customFormat="1" ht="51.75" customHeight="1" x14ac:dyDescent="0.2">
      <c r="A51" s="26" t="s">
        <v>111</v>
      </c>
      <c r="B51" s="21">
        <v>9700</v>
      </c>
      <c r="C51" s="13"/>
      <c r="D51" s="17" t="s">
        <v>112</v>
      </c>
      <c r="E51" s="15">
        <f>E52</f>
        <v>4797973</v>
      </c>
      <c r="F51" s="15">
        <f>F52</f>
        <v>4797973</v>
      </c>
      <c r="G51" s="15">
        <f>G52</f>
        <v>0</v>
      </c>
      <c r="H51" s="15">
        <f>H52</f>
        <v>0</v>
      </c>
      <c r="I51" s="15"/>
      <c r="J51" s="15">
        <f t="shared" ref="J51:O51" si="10">J52</f>
        <v>6214324</v>
      </c>
      <c r="K51" s="15">
        <f t="shared" si="10"/>
        <v>6214324</v>
      </c>
      <c r="L51" s="15">
        <f t="shared" si="10"/>
        <v>0</v>
      </c>
      <c r="M51" s="15">
        <f t="shared" si="10"/>
        <v>0</v>
      </c>
      <c r="N51" s="15">
        <f t="shared" si="10"/>
        <v>0</v>
      </c>
      <c r="O51" s="15">
        <f t="shared" si="10"/>
        <v>6214324</v>
      </c>
      <c r="P51" s="18">
        <f t="shared" si="7"/>
        <v>11012297</v>
      </c>
      <c r="Q51" s="70"/>
    </row>
    <row r="52" spans="1:17" s="68" customFormat="1" ht="33" customHeight="1" x14ac:dyDescent="0.2">
      <c r="A52" s="26" t="s">
        <v>113</v>
      </c>
      <c r="B52" s="19">
        <v>9770</v>
      </c>
      <c r="C52" s="13" t="s">
        <v>109</v>
      </c>
      <c r="D52" s="22" t="s">
        <v>43</v>
      </c>
      <c r="E52" s="15">
        <f>F52+I52</f>
        <v>4797973</v>
      </c>
      <c r="F52" s="14">
        <f>181400+3789573+127000+500000+200000</f>
        <v>4797973</v>
      </c>
      <c r="G52" s="15"/>
      <c r="H52" s="15"/>
      <c r="I52" s="15"/>
      <c r="J52" s="15">
        <f>L52+O52</f>
        <v>6214324</v>
      </c>
      <c r="K52" s="14">
        <f>2700000+3035000+479324</f>
        <v>6214324</v>
      </c>
      <c r="L52" s="14"/>
      <c r="M52" s="15"/>
      <c r="N52" s="15"/>
      <c r="O52" s="15">
        <f>2700000+3035000+479324</f>
        <v>6214324</v>
      </c>
      <c r="P52" s="18">
        <f t="shared" si="7"/>
        <v>11012297</v>
      </c>
      <c r="Q52" s="70"/>
    </row>
    <row r="53" spans="1:17" s="68" customFormat="1" ht="49.9" customHeight="1" x14ac:dyDescent="0.2">
      <c r="A53" s="30" t="s">
        <v>138</v>
      </c>
      <c r="B53" s="21">
        <v>9800</v>
      </c>
      <c r="C53" s="16" t="s">
        <v>109</v>
      </c>
      <c r="D53" s="17" t="s">
        <v>137</v>
      </c>
      <c r="E53" s="15">
        <f>F53</f>
        <v>500000</v>
      </c>
      <c r="F53" s="14">
        <f>350000+150000</f>
        <v>500000</v>
      </c>
      <c r="G53" s="15"/>
      <c r="H53" s="15"/>
      <c r="J53" s="15">
        <f>L53+O53</f>
        <v>50000</v>
      </c>
      <c r="K53" s="14">
        <v>50000</v>
      </c>
      <c r="L53" s="14"/>
      <c r="M53" s="15"/>
      <c r="N53" s="15"/>
      <c r="O53" s="15">
        <f>50000</f>
        <v>50000</v>
      </c>
      <c r="P53" s="18">
        <f t="shared" si="7"/>
        <v>550000</v>
      </c>
      <c r="Q53" s="70"/>
    </row>
    <row r="54" spans="1:17" s="68" customFormat="1" ht="18" customHeight="1" x14ac:dyDescent="0.2">
      <c r="A54" s="71"/>
      <c r="B54" s="19"/>
      <c r="C54" s="13"/>
      <c r="D54" s="24" t="s">
        <v>87</v>
      </c>
      <c r="E54" s="25">
        <f>E16+E19+E22+E27+E31+E33+E36+E38+E43+E45+E49+E51+E53+E47</f>
        <v>70044481</v>
      </c>
      <c r="F54" s="25">
        <f t="shared" ref="F54:P54" si="11">F16+F19+F22+F27+F31+F33+F36+F38+F43+F45+F49+F51+F53+F47</f>
        <v>70044481</v>
      </c>
      <c r="G54" s="25">
        <f t="shared" si="11"/>
        <v>32259646</v>
      </c>
      <c r="H54" s="25">
        <f t="shared" si="11"/>
        <v>6814904</v>
      </c>
      <c r="I54" s="25">
        <f t="shared" si="11"/>
        <v>0</v>
      </c>
      <c r="J54" s="25">
        <f t="shared" si="11"/>
        <v>62611142</v>
      </c>
      <c r="K54" s="25">
        <f t="shared" si="11"/>
        <v>59577825</v>
      </c>
      <c r="L54" s="25">
        <f t="shared" si="11"/>
        <v>3033317</v>
      </c>
      <c r="M54" s="25">
        <f t="shared" si="11"/>
        <v>0</v>
      </c>
      <c r="N54" s="25">
        <f t="shared" si="11"/>
        <v>0</v>
      </c>
      <c r="O54" s="25">
        <f t="shared" si="11"/>
        <v>59577825</v>
      </c>
      <c r="P54" s="25">
        <f t="shared" si="11"/>
        <v>132655623</v>
      </c>
      <c r="Q54" s="70"/>
    </row>
    <row r="55" spans="1:17" s="68" customFormat="1" ht="23.25" customHeight="1" x14ac:dyDescent="0.2">
      <c r="A55" s="72"/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</row>
    <row r="56" spans="1:17" s="68" customFormat="1" ht="23.25" customHeight="1" x14ac:dyDescent="0.2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</row>
    <row r="57" spans="1:17" s="68" customFormat="1" ht="42.6" customHeight="1" x14ac:dyDescent="0.3">
      <c r="A57" s="72"/>
      <c r="D57" s="12" t="s">
        <v>117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7" s="68" customFormat="1" ht="27.75" customHeight="1" x14ac:dyDescent="0.2">
      <c r="A58" s="72"/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</row>
  </sheetData>
  <mergeCells count="23">
    <mergeCell ref="B58:P58"/>
    <mergeCell ref="G12:G13"/>
    <mergeCell ref="H12:H13"/>
    <mergeCell ref="B10:B13"/>
    <mergeCell ref="J11:J13"/>
    <mergeCell ref="M12:M13"/>
    <mergeCell ref="C10:C13"/>
    <mergeCell ref="A10:A13"/>
    <mergeCell ref="E10:I10"/>
    <mergeCell ref="J10:O10"/>
    <mergeCell ref="I11:I13"/>
    <mergeCell ref="E11:E13"/>
    <mergeCell ref="D10:D13"/>
    <mergeCell ref="K11:K13"/>
    <mergeCell ref="B6:P6"/>
    <mergeCell ref="G11:H11"/>
    <mergeCell ref="P10:P13"/>
    <mergeCell ref="B55:P55"/>
    <mergeCell ref="N12:N13"/>
    <mergeCell ref="O11:O13"/>
    <mergeCell ref="F11:F13"/>
    <mergeCell ref="L11:L13"/>
    <mergeCell ref="M11:N11"/>
  </mergeCells>
  <phoneticPr fontId="2" type="noConversion"/>
  <printOptions horizontalCentered="1"/>
  <pageMargins left="0.19685039370078741" right="0.19685039370078741" top="0.59055118110236227" bottom="0.43307086614173229" header="0.51181102362204722" footer="0.31496062992125984"/>
  <pageSetup paperSize="9" scale="70" fitToHeight="2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showGridLines="0" showZeros="0" topLeftCell="D1" zoomScale="60" workbookViewId="0">
      <selection activeCell="D6" sqref="D6:AA6"/>
    </sheetView>
  </sheetViews>
  <sheetFormatPr defaultColWidth="9.1640625" defaultRowHeight="12.75" x14ac:dyDescent="0.2"/>
  <cols>
    <col min="1" max="1" width="0.33203125" style="166" hidden="1" customWidth="1"/>
    <col min="2" max="2" width="4.33203125" style="166" hidden="1" customWidth="1"/>
    <col min="3" max="3" width="1.1640625" style="166" hidden="1" customWidth="1"/>
    <col min="4" max="4" width="13.83203125" style="166" customWidth="1"/>
    <col min="5" max="5" width="20.33203125" style="166" customWidth="1"/>
    <col min="6" max="6" width="4.1640625" style="166" customWidth="1"/>
    <col min="7" max="7" width="6.1640625" style="166" customWidth="1"/>
    <col min="8" max="8" width="12.83203125" style="168" customWidth="1"/>
    <col min="9" max="10" width="12" style="168" customWidth="1"/>
    <col min="11" max="11" width="3.83203125" style="168" customWidth="1"/>
    <col min="12" max="12" width="4.5" style="168" customWidth="1"/>
    <col min="13" max="13" width="10.1640625" style="168" customWidth="1"/>
    <col min="14" max="14" width="4.33203125" style="166" customWidth="1"/>
    <col min="15" max="15" width="3.1640625" style="166" customWidth="1"/>
    <col min="16" max="16" width="11.6640625" style="166" customWidth="1"/>
    <col min="17" max="20" width="11.5" style="166" customWidth="1"/>
    <col min="21" max="21" width="11.83203125" style="166" customWidth="1"/>
    <col min="22" max="23" width="12.1640625" style="166" customWidth="1"/>
    <col min="24" max="24" width="9.83203125" style="166" customWidth="1"/>
    <col min="25" max="25" width="11.33203125" style="166" customWidth="1"/>
    <col min="26" max="26" width="11.83203125" style="166" customWidth="1"/>
    <col min="27" max="27" width="12.1640625" style="166" customWidth="1"/>
    <col min="28" max="28" width="24.5" style="166" customWidth="1"/>
    <col min="29" max="29" width="21.33203125" style="166" customWidth="1"/>
    <col min="30" max="30" width="19.1640625" style="166" customWidth="1"/>
    <col min="31" max="31" width="19.33203125" style="166" customWidth="1"/>
    <col min="32" max="32" width="21.6640625" style="166" customWidth="1"/>
    <col min="33" max="33" width="19.33203125" style="166" customWidth="1"/>
    <col min="34" max="34" width="26.1640625" style="166" customWidth="1"/>
    <col min="35" max="35" width="37.33203125" style="166" customWidth="1"/>
    <col min="36" max="36" width="17.1640625" style="166" customWidth="1"/>
    <col min="37" max="37" width="20.1640625" style="166" customWidth="1"/>
    <col min="38" max="16384" width="9.1640625" style="166"/>
  </cols>
  <sheetData>
    <row r="1" spans="1:27" ht="22.5" customHeight="1" x14ac:dyDescent="0.25">
      <c r="D1" s="167"/>
      <c r="E1" s="167"/>
      <c r="X1" s="169" t="s">
        <v>261</v>
      </c>
      <c r="Y1" s="169"/>
    </row>
    <row r="2" spans="1:27" ht="16.899999999999999" customHeight="1" x14ac:dyDescent="0.25">
      <c r="X2" s="169" t="s">
        <v>85</v>
      </c>
      <c r="Y2" s="169"/>
    </row>
    <row r="3" spans="1:27" ht="17.45" customHeight="1" x14ac:dyDescent="0.25">
      <c r="X3" s="76" t="s">
        <v>90</v>
      </c>
      <c r="Y3" s="76"/>
    </row>
    <row r="4" spans="1:27" ht="17.45" customHeight="1" x14ac:dyDescent="0.25">
      <c r="X4" s="76" t="s">
        <v>89</v>
      </c>
      <c r="Y4" s="76"/>
    </row>
    <row r="5" spans="1:27" ht="16.899999999999999" customHeight="1" x14ac:dyDescent="0.25">
      <c r="E5" s="170"/>
      <c r="F5" s="170"/>
      <c r="G5" s="170"/>
      <c r="H5" s="246"/>
      <c r="I5" s="246"/>
      <c r="J5" s="246"/>
      <c r="K5" s="246"/>
      <c r="L5" s="246"/>
      <c r="M5" s="246"/>
      <c r="N5" s="246"/>
      <c r="O5" s="246"/>
      <c r="P5" s="171"/>
      <c r="X5" s="76" t="s">
        <v>298</v>
      </c>
      <c r="Y5" s="76"/>
      <c r="Z5" s="172"/>
    </row>
    <row r="6" spans="1:27" ht="36.75" customHeight="1" x14ac:dyDescent="0.2">
      <c r="A6" s="173"/>
      <c r="B6" s="173"/>
      <c r="C6" s="173"/>
      <c r="D6" s="256" t="s">
        <v>262</v>
      </c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</row>
    <row r="7" spans="1:27" ht="19.149999999999999" customHeight="1" x14ac:dyDescent="0.25">
      <c r="A7" s="173"/>
      <c r="B7" s="173"/>
      <c r="C7" s="173"/>
      <c r="D7" s="248" t="s">
        <v>119</v>
      </c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</row>
    <row r="8" spans="1:27" ht="19.149999999999999" customHeight="1" x14ac:dyDescent="0.25">
      <c r="A8" s="173"/>
      <c r="B8" s="173"/>
      <c r="C8" s="173"/>
      <c r="D8" s="249" t="s">
        <v>118</v>
      </c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</row>
    <row r="9" spans="1:27" ht="3" customHeight="1" x14ac:dyDescent="0.2">
      <c r="A9" s="173"/>
      <c r="B9" s="173"/>
      <c r="C9" s="173"/>
      <c r="D9" s="173"/>
      <c r="H9" s="174"/>
      <c r="I9" s="174"/>
      <c r="J9" s="174"/>
      <c r="K9" s="174"/>
      <c r="L9" s="174"/>
      <c r="M9" s="175"/>
      <c r="N9" s="176"/>
      <c r="O9" s="177"/>
      <c r="P9" s="177"/>
      <c r="Z9" s="172" t="s">
        <v>198</v>
      </c>
    </row>
    <row r="10" spans="1:27" s="167" customFormat="1" ht="36" customHeight="1" x14ac:dyDescent="0.25">
      <c r="A10" s="178" t="s">
        <v>263</v>
      </c>
      <c r="B10" s="179" t="s">
        <v>167</v>
      </c>
      <c r="C10" s="180">
        <v>0</v>
      </c>
      <c r="D10" s="266" t="s">
        <v>264</v>
      </c>
      <c r="E10" s="266" t="s">
        <v>265</v>
      </c>
      <c r="F10" s="263" t="s">
        <v>266</v>
      </c>
      <c r="G10" s="264"/>
      <c r="H10" s="264"/>
      <c r="I10" s="264"/>
      <c r="J10" s="264"/>
      <c r="K10" s="264"/>
      <c r="L10" s="264"/>
      <c r="M10" s="265"/>
      <c r="N10" s="247" t="s">
        <v>267</v>
      </c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</row>
    <row r="11" spans="1:27" s="167" customFormat="1" ht="37.9" customHeight="1" x14ac:dyDescent="0.25">
      <c r="A11" s="178"/>
      <c r="B11" s="179"/>
      <c r="C11" s="180"/>
      <c r="D11" s="267"/>
      <c r="E11" s="267"/>
      <c r="F11" s="257" t="s">
        <v>268</v>
      </c>
      <c r="G11" s="258"/>
      <c r="H11" s="181"/>
      <c r="I11" s="184" t="s">
        <v>269</v>
      </c>
      <c r="J11" s="184"/>
      <c r="K11" s="184"/>
      <c r="L11" s="182"/>
      <c r="M11" s="247" t="s">
        <v>200</v>
      </c>
      <c r="N11" s="247" t="s">
        <v>270</v>
      </c>
      <c r="O11" s="247"/>
      <c r="P11" s="183"/>
      <c r="Q11" s="269" t="s">
        <v>269</v>
      </c>
      <c r="R11" s="269"/>
      <c r="S11" s="269"/>
      <c r="T11" s="269"/>
      <c r="U11" s="269"/>
      <c r="V11" s="269"/>
      <c r="W11" s="269"/>
      <c r="X11" s="269"/>
      <c r="Y11" s="269"/>
      <c r="Z11" s="269"/>
      <c r="AA11" s="253" t="s">
        <v>200</v>
      </c>
    </row>
    <row r="12" spans="1:27" s="167" customFormat="1" ht="69" customHeight="1" x14ac:dyDescent="0.25">
      <c r="A12" s="178"/>
      <c r="B12" s="179"/>
      <c r="C12" s="180"/>
      <c r="D12" s="267"/>
      <c r="E12" s="267"/>
      <c r="F12" s="259"/>
      <c r="G12" s="260"/>
      <c r="H12" s="263" t="s">
        <v>271</v>
      </c>
      <c r="I12" s="264"/>
      <c r="J12" s="265"/>
      <c r="K12" s="247" t="s">
        <v>272</v>
      </c>
      <c r="L12" s="247"/>
      <c r="M12" s="247"/>
      <c r="N12" s="247"/>
      <c r="O12" s="247"/>
      <c r="P12" s="181"/>
      <c r="Q12" s="250" t="s">
        <v>271</v>
      </c>
      <c r="R12" s="251"/>
      <c r="S12" s="251"/>
      <c r="T12" s="251"/>
      <c r="U12" s="251"/>
      <c r="V12" s="250" t="s">
        <v>272</v>
      </c>
      <c r="W12" s="251"/>
      <c r="X12" s="251"/>
      <c r="Y12" s="251"/>
      <c r="Z12" s="252"/>
      <c r="AA12" s="254"/>
    </row>
    <row r="13" spans="1:27" s="167" customFormat="1" ht="24.6" customHeight="1" x14ac:dyDescent="0.25">
      <c r="A13" s="178" t="s">
        <v>273</v>
      </c>
      <c r="B13" s="179" t="s">
        <v>167</v>
      </c>
      <c r="C13" s="180">
        <v>0</v>
      </c>
      <c r="D13" s="267"/>
      <c r="E13" s="267"/>
      <c r="F13" s="247" t="s">
        <v>274</v>
      </c>
      <c r="G13" s="247"/>
      <c r="H13" s="247"/>
      <c r="I13" s="247"/>
      <c r="J13" s="247"/>
      <c r="K13" s="247"/>
      <c r="L13" s="247"/>
      <c r="M13" s="247"/>
      <c r="N13" s="263" t="s">
        <v>274</v>
      </c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5"/>
      <c r="AA13" s="254"/>
    </row>
    <row r="14" spans="1:27" s="167" customFormat="1" ht="272.45" customHeight="1" x14ac:dyDescent="0.25">
      <c r="A14" s="178"/>
      <c r="B14" s="179"/>
      <c r="C14" s="180"/>
      <c r="D14" s="267"/>
      <c r="E14" s="267"/>
      <c r="F14" s="183"/>
      <c r="G14" s="183"/>
      <c r="H14" s="185" t="s">
        <v>275</v>
      </c>
      <c r="I14" s="186" t="s">
        <v>276</v>
      </c>
      <c r="J14" s="186" t="s">
        <v>277</v>
      </c>
      <c r="K14" s="183"/>
      <c r="L14" s="183"/>
      <c r="M14" s="183"/>
      <c r="N14" s="183"/>
      <c r="O14" s="183"/>
      <c r="P14" s="227" t="s">
        <v>297</v>
      </c>
      <c r="Q14" s="35" t="s">
        <v>278</v>
      </c>
      <c r="R14" s="35" t="s">
        <v>279</v>
      </c>
      <c r="S14" s="35" t="s">
        <v>280</v>
      </c>
      <c r="T14" s="35" t="s">
        <v>281</v>
      </c>
      <c r="U14" s="35" t="s">
        <v>282</v>
      </c>
      <c r="V14" s="35" t="s">
        <v>283</v>
      </c>
      <c r="W14" s="35" t="s">
        <v>284</v>
      </c>
      <c r="X14" s="186" t="s">
        <v>285</v>
      </c>
      <c r="Y14" s="188" t="s">
        <v>286</v>
      </c>
      <c r="Z14" s="189" t="s">
        <v>287</v>
      </c>
      <c r="AA14" s="254"/>
    </row>
    <row r="15" spans="1:27" s="167" customFormat="1" ht="30.75" customHeight="1" x14ac:dyDescent="0.25">
      <c r="A15" s="178"/>
      <c r="B15" s="179"/>
      <c r="C15" s="180"/>
      <c r="D15" s="267"/>
      <c r="E15" s="267"/>
      <c r="F15" s="263" t="s">
        <v>288</v>
      </c>
      <c r="G15" s="264"/>
      <c r="H15" s="264"/>
      <c r="I15" s="264"/>
      <c r="J15" s="264"/>
      <c r="K15" s="264"/>
      <c r="L15" s="265"/>
      <c r="M15" s="183"/>
      <c r="N15" s="263" t="s">
        <v>289</v>
      </c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5"/>
      <c r="AA15" s="254"/>
    </row>
    <row r="16" spans="1:27" s="167" customFormat="1" ht="15.75" x14ac:dyDescent="0.25">
      <c r="A16" s="178" t="s">
        <v>290</v>
      </c>
      <c r="B16" s="179" t="s">
        <v>167</v>
      </c>
      <c r="C16" s="180">
        <v>0</v>
      </c>
      <c r="D16" s="268"/>
      <c r="E16" s="268"/>
      <c r="F16" s="191"/>
      <c r="G16" s="192"/>
      <c r="H16" s="193" t="s">
        <v>291</v>
      </c>
      <c r="I16" s="193" t="s">
        <v>291</v>
      </c>
      <c r="J16" s="193" t="s">
        <v>292</v>
      </c>
      <c r="K16" s="194"/>
      <c r="L16" s="194"/>
      <c r="M16" s="194"/>
      <c r="N16" s="195"/>
      <c r="O16" s="194"/>
      <c r="P16" s="194"/>
      <c r="Q16" s="196" t="s">
        <v>113</v>
      </c>
      <c r="R16" s="197" t="s">
        <v>113</v>
      </c>
      <c r="S16" s="197" t="s">
        <v>113</v>
      </c>
      <c r="T16" s="197" t="s">
        <v>113</v>
      </c>
      <c r="U16" s="197" t="s">
        <v>113</v>
      </c>
      <c r="V16" s="197" t="s">
        <v>113</v>
      </c>
      <c r="W16" s="197" t="s">
        <v>113</v>
      </c>
      <c r="X16" s="197" t="s">
        <v>113</v>
      </c>
      <c r="Y16" s="197" t="s">
        <v>113</v>
      </c>
      <c r="Z16" s="197" t="s">
        <v>113</v>
      </c>
      <c r="AA16" s="255"/>
    </row>
    <row r="17" spans="1:37" s="167" customFormat="1" ht="22.5" customHeight="1" x14ac:dyDescent="0.25">
      <c r="A17" s="178"/>
      <c r="B17" s="179"/>
      <c r="C17" s="180"/>
      <c r="D17" s="190">
        <v>1</v>
      </c>
      <c r="E17" s="190">
        <v>2</v>
      </c>
      <c r="F17" s="187">
        <v>3</v>
      </c>
      <c r="G17" s="187">
        <v>4</v>
      </c>
      <c r="H17" s="187">
        <v>5</v>
      </c>
      <c r="I17" s="187">
        <v>6</v>
      </c>
      <c r="J17" s="187">
        <v>7</v>
      </c>
      <c r="K17" s="187">
        <v>8</v>
      </c>
      <c r="L17" s="187">
        <v>9</v>
      </c>
      <c r="M17" s="187">
        <v>10</v>
      </c>
      <c r="N17" s="187">
        <v>11</v>
      </c>
      <c r="O17" s="187">
        <v>12</v>
      </c>
      <c r="P17" s="187"/>
      <c r="Q17" s="187">
        <v>13</v>
      </c>
      <c r="R17" s="187">
        <v>14</v>
      </c>
      <c r="S17" s="187">
        <v>15</v>
      </c>
      <c r="T17" s="187">
        <v>17</v>
      </c>
      <c r="U17" s="187">
        <v>18</v>
      </c>
      <c r="V17" s="187">
        <v>19</v>
      </c>
      <c r="W17" s="187">
        <v>20</v>
      </c>
      <c r="X17" s="187">
        <v>21</v>
      </c>
      <c r="Y17" s="187">
        <v>22</v>
      </c>
      <c r="Z17" s="187">
        <v>23</v>
      </c>
      <c r="AA17" s="187">
        <v>24</v>
      </c>
    </row>
    <row r="18" spans="1:37" ht="32.450000000000003" customHeight="1" x14ac:dyDescent="0.25">
      <c r="A18" s="198" t="s">
        <v>293</v>
      </c>
      <c r="B18" s="199" t="s">
        <v>167</v>
      </c>
      <c r="C18" s="200">
        <v>0</v>
      </c>
      <c r="D18" s="201" t="s">
        <v>119</v>
      </c>
      <c r="E18" s="202" t="s">
        <v>295</v>
      </c>
      <c r="F18" s="203"/>
      <c r="G18" s="203"/>
      <c r="H18" s="204">
        <v>33672000</v>
      </c>
      <c r="I18" s="204">
        <v>2188400</v>
      </c>
      <c r="J18" s="204">
        <v>56100</v>
      </c>
      <c r="K18" s="204"/>
      <c r="L18" s="204"/>
      <c r="M18" s="205">
        <f>35860400+56100</f>
        <v>35916500</v>
      </c>
      <c r="N18" s="206"/>
      <c r="O18" s="206"/>
      <c r="P18" s="206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</row>
    <row r="19" spans="1:37" ht="50.45" customHeight="1" x14ac:dyDescent="0.25">
      <c r="A19" s="198"/>
      <c r="B19" s="199"/>
      <c r="C19" s="200"/>
      <c r="D19" s="201" t="s">
        <v>294</v>
      </c>
      <c r="E19" s="202" t="s">
        <v>296</v>
      </c>
      <c r="F19" s="203"/>
      <c r="G19" s="203"/>
      <c r="H19" s="203"/>
      <c r="I19" s="203"/>
      <c r="J19" s="203"/>
      <c r="K19" s="203"/>
      <c r="L19" s="203"/>
      <c r="M19" s="208"/>
      <c r="N19" s="206"/>
      <c r="O19" s="206"/>
      <c r="P19" s="228">
        <v>200000</v>
      </c>
      <c r="Q19" s="209">
        <f>181400</f>
        <v>181400</v>
      </c>
      <c r="R19" s="209">
        <v>127000</v>
      </c>
      <c r="S19" s="209">
        <v>100000</v>
      </c>
      <c r="T19" s="209">
        <v>400000</v>
      </c>
      <c r="U19" s="209">
        <v>3789573</v>
      </c>
      <c r="V19" s="209">
        <v>2700000</v>
      </c>
      <c r="W19" s="209">
        <v>479324</v>
      </c>
      <c r="X19" s="209">
        <v>35000</v>
      </c>
      <c r="Y19" s="209">
        <v>1500000</v>
      </c>
      <c r="Z19" s="209">
        <v>1500000</v>
      </c>
      <c r="AA19" s="209">
        <f>Q19+V19+U19+Z19+X19+R19+Y19+T19+S19+W19+P19</f>
        <v>11012297</v>
      </c>
    </row>
    <row r="20" spans="1:37" ht="25.9" customHeight="1" x14ac:dyDescent="0.2">
      <c r="A20" s="210">
        <v>13</v>
      </c>
      <c r="B20" s="211" t="s">
        <v>167</v>
      </c>
      <c r="C20" s="200">
        <v>0</v>
      </c>
      <c r="D20" s="212"/>
      <c r="E20" s="213" t="s">
        <v>50</v>
      </c>
      <c r="F20" s="214"/>
      <c r="G20" s="214"/>
      <c r="H20" s="215">
        <v>33672000</v>
      </c>
      <c r="I20" s="215">
        <v>2188400</v>
      </c>
      <c r="J20" s="215">
        <v>56100</v>
      </c>
      <c r="K20" s="215"/>
      <c r="L20" s="215"/>
      <c r="M20" s="216">
        <f>35860400+56100</f>
        <v>35916500</v>
      </c>
      <c r="N20" s="214"/>
      <c r="O20" s="214"/>
      <c r="P20" s="215">
        <v>200000</v>
      </c>
      <c r="Q20" s="217">
        <f>Q19+Q18</f>
        <v>181400</v>
      </c>
      <c r="R20" s="217">
        <f>R19+R18</f>
        <v>127000</v>
      </c>
      <c r="S20" s="217">
        <f>S19+S18</f>
        <v>100000</v>
      </c>
      <c r="T20" s="217">
        <f>T19+T18</f>
        <v>400000</v>
      </c>
      <c r="U20" s="217">
        <v>3789573</v>
      </c>
      <c r="V20" s="217">
        <f>V19</f>
        <v>2700000</v>
      </c>
      <c r="W20" s="217">
        <f>W19</f>
        <v>479324</v>
      </c>
      <c r="X20" s="217">
        <f>X19</f>
        <v>35000</v>
      </c>
      <c r="Y20" s="217">
        <f>Y19</f>
        <v>1500000</v>
      </c>
      <c r="Z20" s="217">
        <f>Z19</f>
        <v>1500000</v>
      </c>
      <c r="AA20" s="217">
        <f>SUM(AA19)</f>
        <v>11012297</v>
      </c>
    </row>
    <row r="21" spans="1:37" s="172" customFormat="1" ht="58.9" customHeight="1" x14ac:dyDescent="0.3">
      <c r="A21" s="218"/>
      <c r="B21" s="219"/>
      <c r="C21" s="219"/>
      <c r="D21" s="166"/>
      <c r="E21" s="262" t="s">
        <v>172</v>
      </c>
      <c r="F21" s="262"/>
      <c r="G21" s="262"/>
      <c r="H21" s="168"/>
      <c r="I21" s="168"/>
      <c r="J21" s="168"/>
      <c r="K21" s="168"/>
      <c r="L21" s="168"/>
      <c r="M21" s="168"/>
      <c r="N21" s="261" t="s">
        <v>116</v>
      </c>
      <c r="O21" s="261"/>
      <c r="P21" s="261"/>
      <c r="Q21" s="261"/>
      <c r="R21" s="220"/>
      <c r="S21" s="220"/>
      <c r="T21" s="220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</row>
    <row r="22" spans="1:37" ht="30" customHeight="1" x14ac:dyDescent="0.3">
      <c r="A22" s="221"/>
      <c r="B22" s="222"/>
      <c r="C22" s="222"/>
      <c r="E22" s="262"/>
      <c r="F22" s="262"/>
      <c r="G22" s="262"/>
      <c r="H22" s="104"/>
      <c r="I22" s="12"/>
      <c r="J22" s="12"/>
      <c r="K22" s="12"/>
      <c r="L22" s="12"/>
      <c r="N22" s="261"/>
      <c r="O22" s="261"/>
      <c r="P22" s="261"/>
      <c r="Q22" s="261"/>
      <c r="R22" s="220"/>
      <c r="S22" s="220"/>
      <c r="T22" s="220"/>
    </row>
    <row r="23" spans="1:37" s="225" customFormat="1" x14ac:dyDescent="0.2">
      <c r="A23" s="223"/>
      <c r="B23" s="224"/>
      <c r="C23" s="224"/>
      <c r="D23" s="166"/>
      <c r="E23" s="166"/>
      <c r="F23" s="166"/>
      <c r="G23" s="166"/>
      <c r="H23" s="168"/>
      <c r="I23" s="168"/>
      <c r="J23" s="168"/>
      <c r="K23" s="168"/>
      <c r="L23" s="168"/>
      <c r="M23" s="168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</row>
    <row r="24" spans="1:37" s="225" customFormat="1" x14ac:dyDescent="0.2">
      <c r="A24" s="223"/>
      <c r="B24" s="224"/>
      <c r="C24" s="224"/>
      <c r="D24" s="166"/>
      <c r="E24" s="166"/>
      <c r="F24" s="166"/>
      <c r="G24" s="166"/>
      <c r="H24" s="168"/>
      <c r="I24" s="168"/>
      <c r="J24" s="168"/>
      <c r="K24" s="168"/>
      <c r="L24" s="168"/>
      <c r="M24" s="168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</row>
    <row r="25" spans="1:37" s="225" customFormat="1" x14ac:dyDescent="0.2">
      <c r="A25" s="223"/>
      <c r="B25" s="224"/>
      <c r="C25" s="224"/>
      <c r="D25" s="166"/>
      <c r="E25" s="166"/>
      <c r="F25" s="166"/>
      <c r="G25" s="166"/>
      <c r="H25" s="168"/>
      <c r="I25" s="168"/>
      <c r="J25" s="168"/>
      <c r="K25" s="168"/>
      <c r="L25" s="168"/>
      <c r="M25" s="168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</row>
    <row r="26" spans="1:37" s="225" customFormat="1" x14ac:dyDescent="0.2">
      <c r="A26" s="223"/>
      <c r="B26" s="224"/>
      <c r="C26" s="224"/>
      <c r="D26" s="166"/>
      <c r="E26" s="166"/>
      <c r="F26" s="166"/>
      <c r="G26" s="166"/>
      <c r="H26" s="168"/>
      <c r="I26" s="168"/>
      <c r="J26" s="168"/>
      <c r="K26" s="168"/>
      <c r="L26" s="168"/>
      <c r="M26" s="168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</row>
    <row r="27" spans="1:37" x14ac:dyDescent="0.2">
      <c r="A27" s="221"/>
      <c r="B27" s="222"/>
      <c r="C27" s="222"/>
    </row>
    <row r="28" spans="1:37" x14ac:dyDescent="0.2">
      <c r="A28" s="221"/>
      <c r="B28" s="222"/>
      <c r="C28" s="222"/>
    </row>
    <row r="29" spans="1:37" x14ac:dyDescent="0.2">
      <c r="A29" s="221"/>
      <c r="B29" s="222"/>
      <c r="C29" s="222"/>
    </row>
    <row r="30" spans="1:37" x14ac:dyDescent="0.2">
      <c r="A30" s="221"/>
      <c r="B30" s="222"/>
      <c r="C30" s="222"/>
    </row>
    <row r="31" spans="1:37" x14ac:dyDescent="0.2">
      <c r="A31" s="221"/>
      <c r="B31" s="222"/>
      <c r="C31" s="222"/>
    </row>
    <row r="32" spans="1:37" x14ac:dyDescent="0.2">
      <c r="A32" s="221"/>
      <c r="B32" s="222"/>
      <c r="C32" s="222"/>
    </row>
    <row r="33" spans="1:3" x14ac:dyDescent="0.2">
      <c r="A33" s="221"/>
      <c r="B33" s="222"/>
      <c r="C33" s="222"/>
    </row>
    <row r="34" spans="1:3" x14ac:dyDescent="0.2">
      <c r="A34" s="221"/>
      <c r="B34" s="222"/>
      <c r="C34" s="222"/>
    </row>
    <row r="35" spans="1:3" x14ac:dyDescent="0.2">
      <c r="A35" s="221"/>
      <c r="B35" s="222"/>
      <c r="C35" s="222"/>
    </row>
    <row r="36" spans="1:3" x14ac:dyDescent="0.2">
      <c r="A36" s="221"/>
      <c r="B36" s="222"/>
      <c r="C36" s="222"/>
    </row>
    <row r="37" spans="1:3" x14ac:dyDescent="0.2">
      <c r="A37" s="221"/>
      <c r="B37" s="222"/>
      <c r="C37" s="222"/>
    </row>
    <row r="38" spans="1:3" x14ac:dyDescent="0.2">
      <c r="A38" s="221"/>
      <c r="B38" s="222"/>
      <c r="C38" s="222"/>
    </row>
    <row r="39" spans="1:3" x14ac:dyDescent="0.2">
      <c r="A39" s="221"/>
      <c r="B39" s="222"/>
      <c r="C39" s="222"/>
    </row>
    <row r="40" spans="1:3" x14ac:dyDescent="0.2">
      <c r="A40" s="221"/>
      <c r="B40" s="222"/>
      <c r="C40" s="222"/>
    </row>
    <row r="41" spans="1:3" x14ac:dyDescent="0.2">
      <c r="A41" s="221"/>
      <c r="B41" s="222"/>
      <c r="C41" s="222"/>
    </row>
    <row r="42" spans="1:3" x14ac:dyDescent="0.2">
      <c r="A42" s="221"/>
      <c r="B42" s="222"/>
      <c r="C42" s="222"/>
    </row>
    <row r="43" spans="1:3" x14ac:dyDescent="0.2">
      <c r="A43" s="221"/>
      <c r="B43" s="222"/>
      <c r="C43" s="222"/>
    </row>
    <row r="44" spans="1:3" x14ac:dyDescent="0.2">
      <c r="A44" s="221"/>
      <c r="B44" s="222"/>
      <c r="C44" s="222"/>
    </row>
    <row r="45" spans="1:3" x14ac:dyDescent="0.2">
      <c r="A45" s="221"/>
      <c r="B45" s="222"/>
      <c r="C45" s="222"/>
    </row>
    <row r="46" spans="1:3" x14ac:dyDescent="0.2">
      <c r="A46" s="221"/>
      <c r="B46" s="222"/>
      <c r="C46" s="222"/>
    </row>
    <row r="47" spans="1:3" x14ac:dyDescent="0.2">
      <c r="A47" s="221"/>
      <c r="B47" s="222"/>
      <c r="C47" s="222"/>
    </row>
    <row r="48" spans="1:3" x14ac:dyDescent="0.2">
      <c r="A48" s="221"/>
      <c r="B48" s="222"/>
      <c r="C48" s="222"/>
    </row>
    <row r="49" spans="1:3" x14ac:dyDescent="0.2">
      <c r="A49" s="221"/>
      <c r="B49" s="222"/>
      <c r="C49" s="222"/>
    </row>
    <row r="50" spans="1:3" ht="44.25" customHeight="1" x14ac:dyDescent="0.2">
      <c r="A50" s="221"/>
    </row>
    <row r="51" spans="1:3" x14ac:dyDescent="0.2">
      <c r="A51" s="221"/>
    </row>
    <row r="52" spans="1:3" x14ac:dyDescent="0.2">
      <c r="A52" s="221"/>
    </row>
    <row r="53" spans="1:3" ht="16.5" thickBot="1" x14ac:dyDescent="0.3">
      <c r="C53" s="226"/>
    </row>
    <row r="63" spans="1:3" ht="45.75" customHeight="1" x14ac:dyDescent="0.2"/>
  </sheetData>
  <mergeCells count="25">
    <mergeCell ref="H12:J12"/>
    <mergeCell ref="E21:G21"/>
    <mergeCell ref="N21:Q21"/>
    <mergeCell ref="F15:L15"/>
    <mergeCell ref="N15:Z15"/>
    <mergeCell ref="N22:Q22"/>
    <mergeCell ref="E22:G22"/>
    <mergeCell ref="F10:M10"/>
    <mergeCell ref="D10:D16"/>
    <mergeCell ref="E10:E16"/>
    <mergeCell ref="N10:AA10"/>
    <mergeCell ref="N13:Z13"/>
    <mergeCell ref="N11:O12"/>
    <mergeCell ref="Q11:Z11"/>
    <mergeCell ref="Q12:U12"/>
    <mergeCell ref="H5:O5"/>
    <mergeCell ref="F13:L13"/>
    <mergeCell ref="K12:L12"/>
    <mergeCell ref="M11:M13"/>
    <mergeCell ref="D7:AA7"/>
    <mergeCell ref="D8:AA8"/>
    <mergeCell ref="V12:Z12"/>
    <mergeCell ref="AA11:AA16"/>
    <mergeCell ref="D6:AA6"/>
    <mergeCell ref="F11:G12"/>
  </mergeCells>
  <phoneticPr fontId="55" type="noConversion"/>
  <printOptions horizontalCentered="1"/>
  <pageMargins left="0.19685039370078741" right="0" top="0.43307086614173229" bottom="0.23622047244094491" header="0.31496062992125984" footer="0.19685039370078741"/>
  <pageSetup paperSize="9" scale="65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C1" zoomScale="80" workbookViewId="0">
      <selection activeCell="A6" sqref="A6:J6"/>
    </sheetView>
  </sheetViews>
  <sheetFormatPr defaultRowHeight="12.75" x14ac:dyDescent="0.2"/>
  <cols>
    <col min="1" max="1" width="13.83203125" customWidth="1"/>
    <col min="2" max="2" width="13.1640625" customWidth="1"/>
    <col min="3" max="3" width="16.83203125" customWidth="1"/>
    <col min="4" max="4" width="42.5" customWidth="1"/>
    <col min="5" max="5" width="30.6640625" customWidth="1"/>
    <col min="6" max="6" width="13.6640625" customWidth="1"/>
    <col min="7" max="7" width="13.33203125" customWidth="1"/>
    <col min="8" max="8" width="14" customWidth="1"/>
    <col min="9" max="9" width="17.5" customWidth="1"/>
    <col min="10" max="10" width="13.5" customWidth="1"/>
  </cols>
  <sheetData>
    <row r="1" spans="1:10" x14ac:dyDescent="0.2">
      <c r="F1" s="1" t="s">
        <v>178</v>
      </c>
    </row>
    <row r="2" spans="1:10" x14ac:dyDescent="0.2">
      <c r="F2" s="1" t="s">
        <v>85</v>
      </c>
    </row>
    <row r="3" spans="1:10" ht="15.75" x14ac:dyDescent="0.25">
      <c r="A3" s="32"/>
      <c r="B3" s="105"/>
      <c r="C3" s="105"/>
      <c r="D3" s="105"/>
      <c r="E3" s="105"/>
      <c r="F3" s="1" t="s">
        <v>179</v>
      </c>
      <c r="G3" s="105"/>
      <c r="H3" s="105"/>
      <c r="I3" s="105"/>
      <c r="J3" s="105"/>
    </row>
    <row r="4" spans="1:10" ht="15.75" x14ac:dyDescent="0.25">
      <c r="A4" s="32"/>
      <c r="B4" s="105"/>
      <c r="C4" s="105"/>
      <c r="D4" s="105"/>
      <c r="E4" s="105"/>
      <c r="F4" s="1" t="s">
        <v>89</v>
      </c>
      <c r="G4" s="105"/>
      <c r="H4" s="105"/>
      <c r="I4" s="105"/>
      <c r="J4" s="105"/>
    </row>
    <row r="5" spans="1:10" ht="15" x14ac:dyDescent="0.2">
      <c r="A5" s="1"/>
      <c r="B5" s="1"/>
      <c r="C5" s="1"/>
      <c r="D5" s="1"/>
      <c r="E5" s="1"/>
      <c r="F5" s="1" t="s">
        <v>298</v>
      </c>
      <c r="G5" s="106"/>
      <c r="H5" s="106"/>
      <c r="I5" s="106"/>
      <c r="J5" s="106"/>
    </row>
    <row r="6" spans="1:10" ht="29.25" customHeight="1" x14ac:dyDescent="0.2">
      <c r="A6" s="270" t="s">
        <v>180</v>
      </c>
      <c r="B6" s="270"/>
      <c r="C6" s="270"/>
      <c r="D6" s="270"/>
      <c r="E6" s="270"/>
      <c r="F6" s="270"/>
      <c r="G6" s="270"/>
      <c r="H6" s="270"/>
      <c r="I6" s="270"/>
      <c r="J6" s="270"/>
    </row>
    <row r="7" spans="1:10" ht="15.75" customHeight="1" x14ac:dyDescent="0.25">
      <c r="A7" s="248" t="s">
        <v>119</v>
      </c>
      <c r="B7" s="248"/>
      <c r="C7" s="248"/>
      <c r="D7" s="248"/>
      <c r="E7" s="248"/>
      <c r="F7" s="248"/>
      <c r="G7" s="248"/>
      <c r="H7" s="248"/>
      <c r="I7" s="248"/>
      <c r="J7" s="248"/>
    </row>
    <row r="8" spans="1:10" ht="18" customHeight="1" x14ac:dyDescent="0.25">
      <c r="A8" s="249" t="s">
        <v>118</v>
      </c>
      <c r="B8" s="249"/>
      <c r="C8" s="249"/>
      <c r="D8" s="249"/>
      <c r="E8" s="249"/>
      <c r="F8" s="249"/>
      <c r="G8" s="249"/>
      <c r="H8" s="249"/>
      <c r="I8" s="249"/>
      <c r="J8" s="249"/>
    </row>
    <row r="9" spans="1:10" ht="14.45" customHeight="1" x14ac:dyDescent="0.2">
      <c r="A9" s="1"/>
      <c r="B9" s="33"/>
      <c r="C9" s="33"/>
      <c r="D9" s="33"/>
      <c r="E9" s="107"/>
      <c r="F9" s="107"/>
      <c r="G9" s="9"/>
      <c r="H9" s="9"/>
      <c r="I9" s="107"/>
      <c r="J9" s="34" t="s">
        <v>10</v>
      </c>
    </row>
    <row r="10" spans="1:10" ht="106.9" customHeight="1" x14ac:dyDescent="0.2">
      <c r="A10" s="108" t="s">
        <v>120</v>
      </c>
      <c r="B10" s="108" t="s">
        <v>121</v>
      </c>
      <c r="C10" s="108" t="s">
        <v>123</v>
      </c>
      <c r="D10" s="108" t="s">
        <v>181</v>
      </c>
      <c r="E10" s="108" t="s">
        <v>182</v>
      </c>
      <c r="F10" s="108" t="s">
        <v>183</v>
      </c>
      <c r="G10" s="108" t="s">
        <v>184</v>
      </c>
      <c r="H10" s="108" t="s">
        <v>185</v>
      </c>
      <c r="I10" s="108" t="s">
        <v>186</v>
      </c>
      <c r="J10" s="108" t="s">
        <v>187</v>
      </c>
    </row>
    <row r="11" spans="1:10" ht="14.25" x14ac:dyDescent="0.2">
      <c r="A11" s="108"/>
      <c r="B11" s="108"/>
      <c r="C11" s="108"/>
      <c r="D11" s="109">
        <v>4</v>
      </c>
      <c r="E11" s="110">
        <v>5</v>
      </c>
      <c r="F11" s="110">
        <v>6</v>
      </c>
      <c r="G11" s="110">
        <v>7</v>
      </c>
      <c r="H11" s="110">
        <v>8</v>
      </c>
      <c r="I11" s="110">
        <v>9</v>
      </c>
      <c r="J11" s="110">
        <v>10</v>
      </c>
    </row>
    <row r="12" spans="1:10" ht="42.75" x14ac:dyDescent="0.2">
      <c r="A12" s="108"/>
      <c r="B12" s="108"/>
      <c r="C12" s="108"/>
      <c r="D12" s="111" t="s">
        <v>188</v>
      </c>
      <c r="E12" s="110"/>
      <c r="F12" s="110"/>
      <c r="G12" s="112"/>
      <c r="H12" s="113"/>
      <c r="I12" s="112">
        <f>SUM(I13:I17)</f>
        <v>5952599</v>
      </c>
      <c r="J12" s="110"/>
    </row>
    <row r="13" spans="1:10" ht="30.6" customHeight="1" x14ac:dyDescent="0.2">
      <c r="A13" s="28" t="s">
        <v>74</v>
      </c>
      <c r="B13" s="19">
        <v>7310</v>
      </c>
      <c r="C13" s="13" t="s">
        <v>36</v>
      </c>
      <c r="D13" s="22" t="s">
        <v>189</v>
      </c>
      <c r="E13" s="114" t="s">
        <v>190</v>
      </c>
      <c r="F13" s="115">
        <v>2020</v>
      </c>
      <c r="G13" s="115">
        <f>3250000+59000</f>
        <v>3309000</v>
      </c>
      <c r="H13" s="116"/>
      <c r="I13" s="115">
        <f>3250000+59000</f>
        <v>3309000</v>
      </c>
      <c r="J13" s="116">
        <v>100</v>
      </c>
    </row>
    <row r="14" spans="1:10" ht="44.45" customHeight="1" x14ac:dyDescent="0.2">
      <c r="A14" s="28" t="s">
        <v>75</v>
      </c>
      <c r="B14" s="19">
        <v>7330</v>
      </c>
      <c r="C14" s="13" t="s">
        <v>36</v>
      </c>
      <c r="D14" s="22" t="s">
        <v>191</v>
      </c>
      <c r="E14" s="117" t="s">
        <v>192</v>
      </c>
      <c r="F14" s="115">
        <v>2020</v>
      </c>
      <c r="G14" s="115">
        <v>600218</v>
      </c>
      <c r="H14" s="116"/>
      <c r="I14" s="115">
        <v>600218</v>
      </c>
      <c r="J14" s="116">
        <v>100</v>
      </c>
    </row>
    <row r="15" spans="1:10" ht="69.599999999999994" customHeight="1" x14ac:dyDescent="0.2">
      <c r="A15" s="28" t="s">
        <v>75</v>
      </c>
      <c r="B15" s="19">
        <v>7330</v>
      </c>
      <c r="C15" s="13" t="s">
        <v>36</v>
      </c>
      <c r="D15" s="22" t="s">
        <v>191</v>
      </c>
      <c r="E15" s="118" t="s">
        <v>193</v>
      </c>
      <c r="F15" s="115">
        <v>2020</v>
      </c>
      <c r="G15" s="115">
        <v>1496700</v>
      </c>
      <c r="H15" s="116"/>
      <c r="I15" s="115">
        <f>G15</f>
        <v>1496700</v>
      </c>
      <c r="J15" s="116">
        <v>100</v>
      </c>
    </row>
    <row r="16" spans="1:10" ht="78.599999999999994" customHeight="1" x14ac:dyDescent="0.2">
      <c r="A16" s="28" t="s">
        <v>75</v>
      </c>
      <c r="B16" s="19">
        <v>7330</v>
      </c>
      <c r="C16" s="13" t="s">
        <v>36</v>
      </c>
      <c r="D16" s="22" t="s">
        <v>191</v>
      </c>
      <c r="E16" s="117" t="s">
        <v>260</v>
      </c>
      <c r="F16" s="115">
        <v>2020</v>
      </c>
      <c r="G16" s="115">
        <v>46681</v>
      </c>
      <c r="H16" s="116"/>
      <c r="I16" s="115">
        <f>G16</f>
        <v>46681</v>
      </c>
      <c r="J16" s="116">
        <v>100</v>
      </c>
    </row>
    <row r="17" spans="1:10" ht="71.45" customHeight="1" x14ac:dyDescent="0.2">
      <c r="A17" s="28" t="s">
        <v>75</v>
      </c>
      <c r="B17" s="19">
        <v>7330</v>
      </c>
      <c r="C17" s="13" t="s">
        <v>36</v>
      </c>
      <c r="D17" s="22" t="s">
        <v>191</v>
      </c>
      <c r="E17" s="117" t="s">
        <v>195</v>
      </c>
      <c r="F17" s="115">
        <v>2020</v>
      </c>
      <c r="G17" s="115">
        <v>500000</v>
      </c>
      <c r="H17" s="116"/>
      <c r="I17" s="115">
        <v>500000</v>
      </c>
      <c r="J17" s="116">
        <v>100</v>
      </c>
    </row>
    <row r="18" spans="1:10" s="123" customFormat="1" ht="19.149999999999999" customHeight="1" x14ac:dyDescent="0.2">
      <c r="A18" s="119"/>
      <c r="B18" s="21"/>
      <c r="C18" s="16"/>
      <c r="D18" s="17" t="s">
        <v>50</v>
      </c>
      <c r="E18" s="120"/>
      <c r="F18" s="121"/>
      <c r="G18" s="122"/>
      <c r="H18" s="122"/>
      <c r="I18" s="122">
        <f>SUM(I13:I17)</f>
        <v>5952599</v>
      </c>
      <c r="J18" s="121"/>
    </row>
    <row r="20" spans="1:10" ht="15.6" customHeight="1" x14ac:dyDescent="0.2">
      <c r="B20" s="242" t="s">
        <v>194</v>
      </c>
      <c r="C20" s="242"/>
      <c r="D20" s="242"/>
      <c r="E20" s="124"/>
      <c r="F20" t="s">
        <v>116</v>
      </c>
    </row>
  </sheetData>
  <mergeCells count="4">
    <mergeCell ref="B20:D20"/>
    <mergeCell ref="A7:J7"/>
    <mergeCell ref="A8:J8"/>
    <mergeCell ref="A6:J6"/>
  </mergeCells>
  <phoneticPr fontId="2" type="noConversion"/>
  <pageMargins left="0.27559055118110237" right="0.19685039370078741" top="0.43307086614173229" bottom="0.23622047244094491" header="0.31496062992125984" footer="0.19685039370078741"/>
  <pageSetup paperSize="9" scale="84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B36" zoomScale="75" zoomScaleNormal="75" zoomScaleSheetLayoutView="100" workbookViewId="0">
      <selection activeCell="F35" sqref="F35:F36"/>
    </sheetView>
  </sheetViews>
  <sheetFormatPr defaultColWidth="9.1640625" defaultRowHeight="12.75" x14ac:dyDescent="0.2"/>
  <cols>
    <col min="1" max="1" width="12.83203125" style="2" customWidth="1"/>
    <col min="2" max="3" width="14.5" style="7" customWidth="1"/>
    <col min="4" max="4" width="65.33203125" style="3" customWidth="1"/>
    <col min="5" max="5" width="47.1640625" style="3" customWidth="1"/>
    <col min="6" max="6" width="17.5" style="3" customWidth="1"/>
    <col min="7" max="7" width="13.5" style="3" customWidth="1"/>
    <col min="8" max="8" width="12" style="3" customWidth="1"/>
    <col min="9" max="9" width="12.33203125" style="3" customWidth="1"/>
    <col min="10" max="10" width="14.1640625" style="3" customWidth="1"/>
    <col min="11" max="11" width="4.33203125" style="2" customWidth="1"/>
    <col min="12" max="16384" width="9.1640625" style="2"/>
  </cols>
  <sheetData>
    <row r="1" spans="1:18" x14ac:dyDescent="0.2">
      <c r="H1" s="1" t="s">
        <v>88</v>
      </c>
    </row>
    <row r="2" spans="1:18" x14ac:dyDescent="0.2">
      <c r="H2" s="1" t="s">
        <v>108</v>
      </c>
    </row>
    <row r="3" spans="1:18" x14ac:dyDescent="0.2">
      <c r="H3" s="1" t="s">
        <v>90</v>
      </c>
    </row>
    <row r="4" spans="1:18" x14ac:dyDescent="0.2">
      <c r="H4" s="1" t="s">
        <v>89</v>
      </c>
    </row>
    <row r="5" spans="1:18" s="6" customFormat="1" ht="13.5" customHeight="1" x14ac:dyDescent="0.25">
      <c r="B5" s="29"/>
      <c r="C5" s="29"/>
      <c r="D5" s="29"/>
      <c r="E5" s="29"/>
      <c r="F5" s="29"/>
      <c r="G5" s="29"/>
      <c r="H5" s="1" t="s">
        <v>298</v>
      </c>
      <c r="I5" s="29"/>
      <c r="J5" s="29"/>
    </row>
    <row r="6" spans="1:18" ht="27.6" customHeight="1" x14ac:dyDescent="0.2">
      <c r="B6" s="278" t="s">
        <v>96</v>
      </c>
      <c r="C6" s="279"/>
      <c r="D6" s="279"/>
      <c r="E6" s="279"/>
      <c r="F6" s="279"/>
      <c r="G6" s="279"/>
      <c r="H6" s="279"/>
      <c r="I6" s="279"/>
      <c r="J6" s="279"/>
    </row>
    <row r="7" spans="1:18" ht="17.45" customHeight="1" x14ac:dyDescent="0.25">
      <c r="A7" s="248" t="s">
        <v>119</v>
      </c>
      <c r="B7" s="248"/>
      <c r="C7" s="248"/>
      <c r="D7" s="248"/>
      <c r="E7" s="248"/>
      <c r="F7" s="248"/>
      <c r="G7" s="248"/>
      <c r="H7" s="248"/>
      <c r="I7" s="248"/>
      <c r="J7" s="248"/>
    </row>
    <row r="8" spans="1:18" ht="17.45" customHeight="1" x14ac:dyDescent="0.25">
      <c r="A8" s="249" t="s">
        <v>118</v>
      </c>
      <c r="B8" s="249"/>
      <c r="C8" s="249"/>
      <c r="D8" s="249"/>
      <c r="E8" s="249"/>
      <c r="F8" s="249"/>
      <c r="G8" s="249"/>
      <c r="H8" s="249"/>
      <c r="I8" s="249"/>
      <c r="J8" s="249"/>
    </row>
    <row r="9" spans="1:18" ht="12.6" customHeight="1" x14ac:dyDescent="0.2">
      <c r="B9" s="51"/>
      <c r="C9" s="51"/>
      <c r="D9" s="8"/>
      <c r="E9" s="8"/>
      <c r="F9" s="8"/>
      <c r="G9" s="8"/>
      <c r="H9" s="8"/>
      <c r="I9" s="9"/>
      <c r="J9" s="27" t="s">
        <v>10</v>
      </c>
    </row>
    <row r="10" spans="1:18" ht="55.15" customHeight="1" x14ac:dyDescent="0.2">
      <c r="A10" s="280" t="s">
        <v>120</v>
      </c>
      <c r="B10" s="280" t="s">
        <v>121</v>
      </c>
      <c r="C10" s="280" t="s">
        <v>123</v>
      </c>
      <c r="D10" s="280" t="s">
        <v>122</v>
      </c>
      <c r="E10" s="280" t="s">
        <v>125</v>
      </c>
      <c r="F10" s="280" t="s">
        <v>124</v>
      </c>
      <c r="G10" s="280" t="s">
        <v>50</v>
      </c>
      <c r="H10" s="280" t="s">
        <v>0</v>
      </c>
      <c r="I10" s="280" t="s">
        <v>1</v>
      </c>
      <c r="J10" s="280"/>
    </row>
    <row r="11" spans="1:18" ht="42.6" customHeight="1" x14ac:dyDescent="0.2">
      <c r="A11" s="280"/>
      <c r="B11" s="280"/>
      <c r="C11" s="280"/>
      <c r="D11" s="280"/>
      <c r="E11" s="280"/>
      <c r="F11" s="280"/>
      <c r="G11" s="280"/>
      <c r="H11" s="280"/>
      <c r="I11" s="52" t="s">
        <v>50</v>
      </c>
      <c r="J11" s="52" t="s">
        <v>51</v>
      </c>
    </row>
    <row r="12" spans="1:18" ht="26.45" customHeight="1" x14ac:dyDescent="0.2">
      <c r="A12" s="36" t="s">
        <v>76</v>
      </c>
      <c r="B12" s="35">
        <v>3090</v>
      </c>
      <c r="C12" s="36" t="s">
        <v>77</v>
      </c>
      <c r="D12" s="37" t="s">
        <v>79</v>
      </c>
      <c r="E12" s="281" t="s">
        <v>98</v>
      </c>
      <c r="F12" s="281" t="s">
        <v>299</v>
      </c>
      <c r="G12" s="58">
        <f>H12+I12</f>
        <v>30000</v>
      </c>
      <c r="H12" s="58">
        <v>30000</v>
      </c>
      <c r="I12" s="58"/>
      <c r="J12" s="59"/>
      <c r="K12" s="11"/>
      <c r="L12" s="11"/>
      <c r="M12" s="11"/>
      <c r="N12" s="11"/>
      <c r="O12" s="11"/>
      <c r="P12" s="11"/>
      <c r="Q12" s="11"/>
      <c r="R12" s="11"/>
    </row>
    <row r="13" spans="1:18" ht="18.600000000000001" customHeight="1" x14ac:dyDescent="0.2">
      <c r="A13" s="36" t="s">
        <v>62</v>
      </c>
      <c r="B13" s="35">
        <v>3210</v>
      </c>
      <c r="C13" s="36" t="s">
        <v>22</v>
      </c>
      <c r="D13" s="37" t="s">
        <v>23</v>
      </c>
      <c r="E13" s="281"/>
      <c r="F13" s="281"/>
      <c r="G13" s="39">
        <f t="shared" ref="G13:G41" si="0">H13+I13</f>
        <v>16107</v>
      </c>
      <c r="H13" s="60">
        <f>103717-87610</f>
        <v>16107</v>
      </c>
      <c r="I13" s="58"/>
      <c r="J13" s="59"/>
      <c r="K13" s="11"/>
      <c r="L13" s="11"/>
      <c r="M13" s="11"/>
      <c r="N13" s="11"/>
      <c r="O13" s="11"/>
      <c r="P13" s="11"/>
      <c r="Q13" s="11"/>
      <c r="R13" s="11"/>
    </row>
    <row r="14" spans="1:18" ht="42.6" customHeight="1" x14ac:dyDescent="0.2">
      <c r="A14" s="36" t="s">
        <v>63</v>
      </c>
      <c r="B14" s="35">
        <v>3242</v>
      </c>
      <c r="C14" s="36" t="s">
        <v>13</v>
      </c>
      <c r="D14" s="37" t="s">
        <v>44</v>
      </c>
      <c r="E14" s="281"/>
      <c r="F14" s="281"/>
      <c r="G14" s="39">
        <f t="shared" si="0"/>
        <v>632700</v>
      </c>
      <c r="H14" s="58">
        <f>231000+201700+200000</f>
        <v>632700</v>
      </c>
      <c r="I14" s="58"/>
      <c r="J14" s="59"/>
      <c r="K14" s="11"/>
      <c r="L14" s="11"/>
      <c r="M14" s="11"/>
      <c r="N14" s="11"/>
      <c r="O14" s="11"/>
      <c r="P14" s="11"/>
      <c r="Q14" s="11"/>
      <c r="R14" s="11"/>
    </row>
    <row r="15" spans="1:18" ht="72" customHeight="1" x14ac:dyDescent="0.2">
      <c r="A15" s="36" t="s">
        <v>63</v>
      </c>
      <c r="B15" s="35">
        <v>3242</v>
      </c>
      <c r="C15" s="36" t="s">
        <v>13</v>
      </c>
      <c r="D15" s="37" t="s">
        <v>44</v>
      </c>
      <c r="E15" s="39" t="s">
        <v>145</v>
      </c>
      <c r="F15" s="39" t="s">
        <v>300</v>
      </c>
      <c r="G15" s="39">
        <f t="shared" si="0"/>
        <v>550000</v>
      </c>
      <c r="H15" s="58">
        <f>500000+50000</f>
        <v>550000</v>
      </c>
      <c r="I15" s="58"/>
      <c r="J15" s="59"/>
      <c r="K15" s="11"/>
      <c r="L15" s="11"/>
      <c r="M15" s="11"/>
      <c r="N15" s="11"/>
      <c r="O15" s="11"/>
      <c r="P15" s="11"/>
      <c r="Q15" s="11"/>
      <c r="R15" s="11"/>
    </row>
    <row r="16" spans="1:18" ht="88.15" customHeight="1" x14ac:dyDescent="0.2">
      <c r="A16" s="36" t="s">
        <v>92</v>
      </c>
      <c r="B16" s="35">
        <v>3140</v>
      </c>
      <c r="C16" s="36" t="s">
        <v>93</v>
      </c>
      <c r="D16" s="37" t="s">
        <v>97</v>
      </c>
      <c r="E16" s="39" t="s">
        <v>102</v>
      </c>
      <c r="F16" s="74" t="s">
        <v>301</v>
      </c>
      <c r="G16" s="39">
        <f t="shared" si="0"/>
        <v>0</v>
      </c>
      <c r="H16" s="60">
        <f>410000-160000-196200-53800</f>
        <v>0</v>
      </c>
      <c r="I16" s="60"/>
      <c r="J16" s="61"/>
      <c r="K16" s="11"/>
      <c r="L16" s="11"/>
      <c r="M16" s="11"/>
      <c r="N16" s="11"/>
      <c r="O16" s="11"/>
      <c r="P16" s="11"/>
      <c r="Q16" s="11"/>
      <c r="R16" s="11"/>
    </row>
    <row r="17" spans="1:18" ht="29.25" customHeight="1" x14ac:dyDescent="0.2">
      <c r="A17" s="36" t="s">
        <v>66</v>
      </c>
      <c r="B17" s="35">
        <v>4081</v>
      </c>
      <c r="C17" s="36" t="s">
        <v>31</v>
      </c>
      <c r="D17" s="37" t="s">
        <v>45</v>
      </c>
      <c r="E17" s="281" t="s">
        <v>99</v>
      </c>
      <c r="F17" s="282" t="s">
        <v>302</v>
      </c>
      <c r="G17" s="39">
        <f t="shared" si="0"/>
        <v>123731</v>
      </c>
      <c r="H17" s="57">
        <v>123731</v>
      </c>
      <c r="I17" s="57"/>
      <c r="J17" s="61"/>
      <c r="K17" s="11"/>
      <c r="L17" s="11"/>
      <c r="M17" s="11"/>
      <c r="N17" s="11"/>
      <c r="O17" s="11"/>
      <c r="P17" s="11"/>
      <c r="Q17" s="11"/>
      <c r="R17" s="11"/>
    </row>
    <row r="18" spans="1:18" ht="60" customHeight="1" x14ac:dyDescent="0.2">
      <c r="A18" s="36" t="s">
        <v>67</v>
      </c>
      <c r="B18" s="35">
        <v>4082</v>
      </c>
      <c r="C18" s="36" t="s">
        <v>31</v>
      </c>
      <c r="D18" s="37" t="s">
        <v>46</v>
      </c>
      <c r="E18" s="281"/>
      <c r="F18" s="284"/>
      <c r="G18" s="39">
        <f t="shared" si="0"/>
        <v>462300</v>
      </c>
      <c r="H18" s="57">
        <f>700000-360000-50500+56400</f>
        <v>345900</v>
      </c>
      <c r="I18" s="57">
        <v>116400</v>
      </c>
      <c r="J18" s="63">
        <v>116400</v>
      </c>
      <c r="K18" s="11"/>
      <c r="L18" s="11"/>
      <c r="M18" s="11"/>
      <c r="N18" s="11"/>
      <c r="O18" s="11"/>
      <c r="P18" s="11"/>
      <c r="Q18" s="11"/>
      <c r="R18" s="11"/>
    </row>
    <row r="19" spans="1:18" ht="53.25" customHeight="1" x14ac:dyDescent="0.2">
      <c r="A19" s="36" t="s">
        <v>69</v>
      </c>
      <c r="B19" s="35">
        <v>5061</v>
      </c>
      <c r="C19" s="36" t="s">
        <v>17</v>
      </c>
      <c r="D19" s="37" t="s">
        <v>21</v>
      </c>
      <c r="E19" s="62" t="s">
        <v>100</v>
      </c>
      <c r="F19" s="39" t="s">
        <v>127</v>
      </c>
      <c r="G19" s="39">
        <f t="shared" si="0"/>
        <v>588068</v>
      </c>
      <c r="H19" s="57">
        <v>588068</v>
      </c>
      <c r="I19" s="57"/>
      <c r="J19" s="63"/>
      <c r="K19" s="11"/>
      <c r="L19" s="11"/>
      <c r="M19" s="11"/>
      <c r="N19" s="11"/>
      <c r="O19" s="11"/>
      <c r="P19" s="11"/>
      <c r="Q19" s="11"/>
      <c r="R19" s="11"/>
    </row>
    <row r="20" spans="1:18" ht="52.5" customHeight="1" x14ac:dyDescent="0.2">
      <c r="A20" s="36" t="s">
        <v>57</v>
      </c>
      <c r="B20" s="36" t="s">
        <v>24</v>
      </c>
      <c r="C20" s="36" t="s">
        <v>8</v>
      </c>
      <c r="D20" s="37" t="s">
        <v>25</v>
      </c>
      <c r="E20" s="282" t="s">
        <v>101</v>
      </c>
      <c r="F20" s="282" t="s">
        <v>303</v>
      </c>
      <c r="G20" s="39">
        <f t="shared" si="0"/>
        <v>50000</v>
      </c>
      <c r="H20" s="57"/>
      <c r="I20" s="57">
        <v>50000</v>
      </c>
      <c r="J20" s="57">
        <v>50000</v>
      </c>
      <c r="K20" s="11"/>
      <c r="L20" s="11"/>
      <c r="M20" s="11"/>
      <c r="N20" s="11"/>
      <c r="O20" s="11"/>
      <c r="P20" s="11"/>
      <c r="Q20" s="11"/>
      <c r="R20" s="11"/>
    </row>
    <row r="21" spans="1:18" ht="30.6" customHeight="1" x14ac:dyDescent="0.2">
      <c r="A21" s="36" t="s">
        <v>140</v>
      </c>
      <c r="B21" s="36" t="s">
        <v>109</v>
      </c>
      <c r="C21" s="36" t="s">
        <v>141</v>
      </c>
      <c r="D21" s="37" t="s">
        <v>139</v>
      </c>
      <c r="E21" s="283"/>
      <c r="F21" s="283"/>
      <c r="G21" s="39">
        <f t="shared" si="0"/>
        <v>50000</v>
      </c>
      <c r="H21" s="57">
        <v>50000</v>
      </c>
      <c r="I21" s="57"/>
      <c r="J21" s="57"/>
      <c r="K21" s="11"/>
      <c r="L21" s="11"/>
      <c r="M21" s="11"/>
      <c r="N21" s="11"/>
      <c r="O21" s="11"/>
      <c r="P21" s="11"/>
      <c r="Q21" s="11"/>
      <c r="R21" s="11"/>
    </row>
    <row r="22" spans="1:18" ht="22.5" customHeight="1" x14ac:dyDescent="0.2">
      <c r="A22" s="36" t="s">
        <v>59</v>
      </c>
      <c r="B22" s="35">
        <v>1010</v>
      </c>
      <c r="C22" s="36" t="s">
        <v>11</v>
      </c>
      <c r="D22" s="38" t="s">
        <v>26</v>
      </c>
      <c r="E22" s="283"/>
      <c r="F22" s="283"/>
      <c r="G22" s="39">
        <f>H22+I22</f>
        <v>77460</v>
      </c>
      <c r="H22" s="57"/>
      <c r="I22" s="57">
        <f>529360-500000+10000+38100</f>
        <v>77460</v>
      </c>
      <c r="J22" s="57">
        <f>529360-500000+10000+38100</f>
        <v>77460</v>
      </c>
      <c r="K22" s="11"/>
      <c r="L22" s="11"/>
      <c r="M22" s="11"/>
      <c r="N22" s="11"/>
      <c r="O22" s="11"/>
      <c r="P22" s="11"/>
      <c r="Q22" s="11"/>
      <c r="R22" s="11"/>
    </row>
    <row r="23" spans="1:18" ht="22.5" customHeight="1" x14ac:dyDescent="0.2">
      <c r="A23" s="36" t="s">
        <v>130</v>
      </c>
      <c r="B23" s="35">
        <v>7321</v>
      </c>
      <c r="C23" s="36" t="s">
        <v>36</v>
      </c>
      <c r="D23" s="38" t="s">
        <v>131</v>
      </c>
      <c r="E23" s="283"/>
      <c r="F23" s="283"/>
      <c r="G23" s="39">
        <f>H23+I23</f>
        <v>12790725</v>
      </c>
      <c r="H23" s="57"/>
      <c r="I23" s="57">
        <f>18090725-5300000</f>
        <v>12790725</v>
      </c>
      <c r="J23" s="57">
        <f>18090725-5300000</f>
        <v>12790725</v>
      </c>
      <c r="K23" s="11"/>
      <c r="L23" s="11"/>
      <c r="M23" s="11"/>
      <c r="N23" s="11"/>
      <c r="O23" s="11"/>
      <c r="P23" s="11"/>
      <c r="Q23" s="11"/>
      <c r="R23" s="11"/>
    </row>
    <row r="24" spans="1:18" ht="28.9" customHeight="1" x14ac:dyDescent="0.2">
      <c r="A24" s="36" t="s">
        <v>65</v>
      </c>
      <c r="B24" s="35">
        <v>4060</v>
      </c>
      <c r="C24" s="36" t="s">
        <v>15</v>
      </c>
      <c r="D24" s="37" t="s">
        <v>41</v>
      </c>
      <c r="E24" s="283"/>
      <c r="F24" s="283"/>
      <c r="G24" s="39">
        <f t="shared" si="0"/>
        <v>8000</v>
      </c>
      <c r="H24" s="57"/>
      <c r="I24" s="57">
        <f>312000-294000-10000</f>
        <v>8000</v>
      </c>
      <c r="J24" s="57">
        <f>312000-294000-10000</f>
        <v>8000</v>
      </c>
      <c r="K24" s="11"/>
      <c r="L24" s="11"/>
      <c r="M24" s="11"/>
      <c r="N24" s="11"/>
      <c r="O24" s="11"/>
      <c r="P24" s="11"/>
      <c r="Q24" s="11"/>
      <c r="R24" s="11"/>
    </row>
    <row r="25" spans="1:18" ht="28.9" customHeight="1" x14ac:dyDescent="0.2">
      <c r="A25" s="36" t="s">
        <v>71</v>
      </c>
      <c r="B25" s="35">
        <v>6011</v>
      </c>
      <c r="C25" s="36" t="s">
        <v>129</v>
      </c>
      <c r="D25" s="37" t="s">
        <v>35</v>
      </c>
      <c r="E25" s="283"/>
      <c r="F25" s="283"/>
      <c r="G25" s="39">
        <f t="shared" si="0"/>
        <v>260000</v>
      </c>
      <c r="H25" s="57"/>
      <c r="I25" s="57">
        <f>200000+60000</f>
        <v>260000</v>
      </c>
      <c r="J25" s="57">
        <v>260000</v>
      </c>
      <c r="K25" s="11"/>
      <c r="L25" s="11"/>
      <c r="M25" s="11"/>
      <c r="N25" s="11"/>
      <c r="O25" s="11"/>
      <c r="P25" s="11"/>
      <c r="Q25" s="11"/>
      <c r="R25" s="11"/>
    </row>
    <row r="26" spans="1:18" ht="18.75" customHeight="1" x14ac:dyDescent="0.2">
      <c r="A26" s="36" t="s">
        <v>72</v>
      </c>
      <c r="B26" s="35">
        <v>6030</v>
      </c>
      <c r="C26" s="36" t="s">
        <v>19</v>
      </c>
      <c r="D26" s="37" t="s">
        <v>32</v>
      </c>
      <c r="E26" s="283"/>
      <c r="F26" s="283"/>
      <c r="G26" s="39">
        <f t="shared" si="0"/>
        <v>13076958</v>
      </c>
      <c r="H26" s="57">
        <f>11133887+300000+470000+122514+300000+200000-39723+7416-259296+240000</f>
        <v>12474798</v>
      </c>
      <c r="I26" s="57">
        <f>564000+52000+76000+95000-100000-300000+850000+140000-850000+75160</f>
        <v>602160</v>
      </c>
      <c r="J26" s="57">
        <f>564000+52000+76000+95000-100000-300000+850000+140000-850000+75160</f>
        <v>602160</v>
      </c>
      <c r="K26" s="11"/>
      <c r="L26" s="11"/>
      <c r="M26" s="11"/>
      <c r="N26" s="11"/>
      <c r="O26" s="11"/>
      <c r="P26" s="11"/>
      <c r="Q26" s="11"/>
      <c r="R26" s="11"/>
    </row>
    <row r="27" spans="1:18" ht="18.75" customHeight="1" x14ac:dyDescent="0.2">
      <c r="A27" s="36" t="s">
        <v>74</v>
      </c>
      <c r="B27" s="35">
        <v>7310</v>
      </c>
      <c r="C27" s="36" t="s">
        <v>36</v>
      </c>
      <c r="D27" s="37" t="s">
        <v>37</v>
      </c>
      <c r="E27" s="283"/>
      <c r="F27" s="283"/>
      <c r="G27" s="39">
        <f t="shared" si="0"/>
        <v>3309000</v>
      </c>
      <c r="H27" s="57"/>
      <c r="I27" s="57">
        <f>2500000+750000+59000</f>
        <v>3309000</v>
      </c>
      <c r="J27" s="57">
        <f>2500000+750000+59000</f>
        <v>3309000</v>
      </c>
      <c r="K27" s="11"/>
      <c r="L27" s="11"/>
      <c r="M27" s="11"/>
      <c r="N27" s="11"/>
      <c r="O27" s="11"/>
      <c r="P27" s="11"/>
      <c r="Q27" s="11"/>
      <c r="R27" s="11"/>
    </row>
    <row r="28" spans="1:18" ht="37.15" customHeight="1" x14ac:dyDescent="0.2">
      <c r="A28" s="36" t="s">
        <v>75</v>
      </c>
      <c r="B28" s="35">
        <v>7330</v>
      </c>
      <c r="C28" s="36" t="s">
        <v>36</v>
      </c>
      <c r="D28" s="37" t="s">
        <v>42</v>
      </c>
      <c r="E28" s="283"/>
      <c r="F28" s="283"/>
      <c r="G28" s="39">
        <f>H28+I28</f>
        <v>24756318</v>
      </c>
      <c r="H28" s="57"/>
      <c r="I28" s="57">
        <f>7480000+1496700+600218-1500000+10570430+3365000+1300000+1392127+51843</f>
        <v>24756318</v>
      </c>
      <c r="J28" s="57">
        <f>7480000+1496700+600218-1500000+10570430+3365000+1300000+1392127+51843</f>
        <v>24756318</v>
      </c>
      <c r="K28" s="11"/>
      <c r="L28" s="11"/>
      <c r="M28" s="11"/>
      <c r="N28" s="11"/>
      <c r="O28" s="11"/>
      <c r="P28" s="11"/>
      <c r="Q28" s="11"/>
      <c r="R28" s="11"/>
    </row>
    <row r="29" spans="1:18" ht="25.9" customHeight="1" x14ac:dyDescent="0.2">
      <c r="A29" s="36" t="s">
        <v>155</v>
      </c>
      <c r="B29" s="35">
        <v>7370</v>
      </c>
      <c r="C29" s="36" t="s">
        <v>9</v>
      </c>
      <c r="D29" s="37" t="s">
        <v>156</v>
      </c>
      <c r="E29" s="283"/>
      <c r="F29" s="283"/>
      <c r="G29" s="39">
        <f t="shared" si="0"/>
        <v>49723</v>
      </c>
      <c r="H29" s="57">
        <f>39723+10000</f>
        <v>49723</v>
      </c>
      <c r="I29" s="57"/>
      <c r="J29" s="57"/>
      <c r="K29" s="11"/>
      <c r="L29" s="11"/>
      <c r="M29" s="11"/>
      <c r="N29" s="11"/>
      <c r="O29" s="11"/>
      <c r="P29" s="11"/>
      <c r="Q29" s="11"/>
      <c r="R29" s="11"/>
    </row>
    <row r="30" spans="1:18" ht="21.6" customHeight="1" x14ac:dyDescent="0.2">
      <c r="A30" s="36" t="s">
        <v>82</v>
      </c>
      <c r="B30" s="35">
        <v>7693</v>
      </c>
      <c r="C30" s="36" t="s">
        <v>9</v>
      </c>
      <c r="D30" s="37" t="s">
        <v>40</v>
      </c>
      <c r="E30" s="283"/>
      <c r="F30" s="283"/>
      <c r="G30" s="39">
        <f t="shared" si="0"/>
        <v>200000</v>
      </c>
      <c r="H30" s="57">
        <v>200000</v>
      </c>
      <c r="I30" s="57"/>
      <c r="J30" s="57"/>
      <c r="K30" s="11"/>
      <c r="L30" s="11"/>
      <c r="M30" s="11"/>
      <c r="N30" s="11"/>
      <c r="O30" s="11"/>
      <c r="P30" s="11"/>
      <c r="Q30" s="11"/>
      <c r="R30" s="11"/>
    </row>
    <row r="31" spans="1:18" ht="24.6" customHeight="1" x14ac:dyDescent="0.2">
      <c r="A31" s="36" t="s">
        <v>176</v>
      </c>
      <c r="B31" s="35">
        <v>8230</v>
      </c>
      <c r="C31" s="36" t="s">
        <v>177</v>
      </c>
      <c r="D31" s="37" t="s">
        <v>175</v>
      </c>
      <c r="E31" s="284"/>
      <c r="F31" s="284"/>
      <c r="G31" s="39">
        <f>H31+I31</f>
        <v>18000</v>
      </c>
      <c r="H31" s="57">
        <v>18000</v>
      </c>
      <c r="I31" s="57"/>
      <c r="J31" s="57"/>
      <c r="K31" s="11"/>
      <c r="L31" s="11"/>
      <c r="M31" s="11"/>
      <c r="N31" s="11"/>
      <c r="O31" s="11"/>
      <c r="P31" s="11"/>
      <c r="Q31" s="11"/>
      <c r="R31" s="11"/>
    </row>
    <row r="32" spans="1:18" ht="65.45" customHeight="1" x14ac:dyDescent="0.2">
      <c r="A32" s="36" t="s">
        <v>71</v>
      </c>
      <c r="B32" s="35">
        <v>6011</v>
      </c>
      <c r="C32" s="36" t="s">
        <v>129</v>
      </c>
      <c r="D32" s="37" t="s">
        <v>35</v>
      </c>
      <c r="E32" s="39" t="s">
        <v>106</v>
      </c>
      <c r="F32" s="39" t="s">
        <v>154</v>
      </c>
      <c r="G32" s="39">
        <f t="shared" si="0"/>
        <v>1800000</v>
      </c>
      <c r="H32" s="57"/>
      <c r="I32" s="57">
        <f>3000000-1200000</f>
        <v>1800000</v>
      </c>
      <c r="J32" s="57">
        <f>3000000-1200000</f>
        <v>1800000</v>
      </c>
      <c r="K32" s="11"/>
      <c r="L32" s="11"/>
      <c r="M32" s="11"/>
      <c r="N32" s="11"/>
      <c r="O32" s="11"/>
      <c r="P32" s="11"/>
      <c r="Q32" s="11"/>
      <c r="R32" s="11"/>
    </row>
    <row r="33" spans="1:18" ht="95.45" customHeight="1" x14ac:dyDescent="0.2">
      <c r="A33" s="36" t="s">
        <v>94</v>
      </c>
      <c r="B33" s="35">
        <v>7130</v>
      </c>
      <c r="C33" s="36" t="s">
        <v>48</v>
      </c>
      <c r="D33" s="37" t="s">
        <v>49</v>
      </c>
      <c r="E33" s="62" t="s">
        <v>107</v>
      </c>
      <c r="F33" s="39" t="s">
        <v>304</v>
      </c>
      <c r="G33" s="39">
        <f t="shared" si="0"/>
        <v>165055</v>
      </c>
      <c r="H33" s="57">
        <f>81455+82000-28775</f>
        <v>134680</v>
      </c>
      <c r="I33" s="57">
        <f>5000+15000+10375</f>
        <v>30375</v>
      </c>
      <c r="J33" s="57"/>
      <c r="K33" s="11"/>
      <c r="L33" s="11"/>
      <c r="M33" s="11"/>
      <c r="N33" s="11"/>
      <c r="O33" s="11"/>
      <c r="P33" s="11"/>
      <c r="Q33" s="11"/>
      <c r="R33" s="11"/>
    </row>
    <row r="34" spans="1:18" ht="118.9" customHeight="1" x14ac:dyDescent="0.2">
      <c r="A34" s="36" t="s">
        <v>75</v>
      </c>
      <c r="B34" s="35">
        <v>7330</v>
      </c>
      <c r="C34" s="36" t="s">
        <v>36</v>
      </c>
      <c r="D34" s="37" t="s">
        <v>42</v>
      </c>
      <c r="E34" s="62" t="s">
        <v>105</v>
      </c>
      <c r="F34" s="39" t="s">
        <v>305</v>
      </c>
      <c r="G34" s="39">
        <f t="shared" si="0"/>
        <v>9524838</v>
      </c>
      <c r="H34" s="57"/>
      <c r="I34" s="57">
        <f>1410000-200000-300000-120000+4590000+4230000-51843-80000+46681</f>
        <v>9524838</v>
      </c>
      <c r="J34" s="57">
        <f>1410000-200000-300000-120000+4590000+4230000-51843-80000+46681</f>
        <v>9524838</v>
      </c>
      <c r="K34" s="11"/>
      <c r="L34" s="11"/>
      <c r="M34" s="11"/>
      <c r="N34" s="11"/>
      <c r="O34" s="11"/>
      <c r="P34" s="11"/>
      <c r="Q34" s="11"/>
      <c r="R34" s="11"/>
    </row>
    <row r="35" spans="1:18" ht="53.45" customHeight="1" x14ac:dyDescent="0.2">
      <c r="A35" s="36" t="s">
        <v>82</v>
      </c>
      <c r="B35" s="35">
        <v>7693</v>
      </c>
      <c r="C35" s="36" t="s">
        <v>9</v>
      </c>
      <c r="D35" s="37" t="s">
        <v>40</v>
      </c>
      <c r="E35" s="282" t="s">
        <v>104</v>
      </c>
      <c r="F35" s="282" t="s">
        <v>153</v>
      </c>
      <c r="G35" s="39">
        <f t="shared" si="0"/>
        <v>72000</v>
      </c>
      <c r="H35" s="57">
        <f>72000</f>
        <v>72000</v>
      </c>
      <c r="I35" s="57"/>
      <c r="J35" s="61"/>
      <c r="K35" s="11"/>
      <c r="L35" s="11"/>
      <c r="M35" s="11"/>
      <c r="N35" s="11"/>
      <c r="O35" s="11"/>
      <c r="P35" s="11"/>
      <c r="Q35" s="11"/>
      <c r="R35" s="11"/>
    </row>
    <row r="36" spans="1:18" ht="53.45" customHeight="1" x14ac:dyDescent="0.2">
      <c r="A36" s="36" t="s">
        <v>134</v>
      </c>
      <c r="B36" s="35">
        <v>8110</v>
      </c>
      <c r="C36" s="36" t="s">
        <v>135</v>
      </c>
      <c r="D36" s="37" t="s">
        <v>136</v>
      </c>
      <c r="E36" s="283"/>
      <c r="F36" s="284"/>
      <c r="G36" s="39">
        <f t="shared" si="0"/>
        <v>78000</v>
      </c>
      <c r="H36" s="57">
        <v>78000</v>
      </c>
      <c r="I36" s="57"/>
      <c r="J36" s="61"/>
      <c r="K36" s="11"/>
      <c r="L36" s="11"/>
      <c r="M36" s="11"/>
      <c r="N36" s="11"/>
      <c r="O36" s="11"/>
      <c r="P36" s="11"/>
      <c r="Q36" s="11"/>
      <c r="R36" s="11"/>
    </row>
    <row r="37" spans="1:18" ht="39.6" customHeight="1" x14ac:dyDescent="0.2">
      <c r="A37" s="36" t="s">
        <v>138</v>
      </c>
      <c r="B37" s="35">
        <v>9800</v>
      </c>
      <c r="C37" s="36" t="s">
        <v>109</v>
      </c>
      <c r="D37" s="37" t="s">
        <v>137</v>
      </c>
      <c r="E37" s="284"/>
      <c r="F37" s="39" t="s">
        <v>148</v>
      </c>
      <c r="G37" s="39">
        <f t="shared" si="0"/>
        <v>200000</v>
      </c>
      <c r="H37" s="57">
        <v>200000</v>
      </c>
      <c r="I37" s="57"/>
      <c r="J37" s="61"/>
      <c r="K37" s="11"/>
      <c r="L37" s="11"/>
      <c r="M37" s="11"/>
      <c r="N37" s="11"/>
      <c r="O37" s="11"/>
      <c r="P37" s="11"/>
      <c r="Q37" s="11"/>
      <c r="R37" s="11"/>
    </row>
    <row r="38" spans="1:18" ht="70.150000000000006" customHeight="1" x14ac:dyDescent="0.2">
      <c r="A38" s="36" t="s">
        <v>134</v>
      </c>
      <c r="B38" s="35">
        <v>8110</v>
      </c>
      <c r="C38" s="36" t="s">
        <v>135</v>
      </c>
      <c r="D38" s="37" t="s">
        <v>136</v>
      </c>
      <c r="E38" s="55" t="s">
        <v>146</v>
      </c>
      <c r="F38" s="39" t="s">
        <v>152</v>
      </c>
      <c r="G38" s="39">
        <f t="shared" si="0"/>
        <v>400000</v>
      </c>
      <c r="H38" s="57">
        <f>200000+700000-500000</f>
        <v>400000</v>
      </c>
      <c r="I38" s="57"/>
      <c r="J38" s="61"/>
      <c r="K38" s="11"/>
      <c r="L38" s="11"/>
      <c r="M38" s="11"/>
      <c r="N38" s="11"/>
      <c r="O38" s="11"/>
      <c r="P38" s="11"/>
      <c r="Q38" s="11"/>
      <c r="R38" s="11"/>
    </row>
    <row r="39" spans="1:18" ht="28.15" customHeight="1" x14ac:dyDescent="0.2">
      <c r="A39" s="36" t="s">
        <v>80</v>
      </c>
      <c r="B39" s="35">
        <v>8330</v>
      </c>
      <c r="C39" s="36" t="s">
        <v>39</v>
      </c>
      <c r="D39" s="37" t="s">
        <v>53</v>
      </c>
      <c r="E39" s="62" t="s">
        <v>103</v>
      </c>
      <c r="F39" s="39" t="s">
        <v>128</v>
      </c>
      <c r="G39" s="39">
        <f t="shared" si="0"/>
        <v>320900</v>
      </c>
      <c r="H39" s="57"/>
      <c r="I39" s="57">
        <f>[1]спецфонд!$X$5</f>
        <v>320900</v>
      </c>
      <c r="J39" s="61"/>
      <c r="K39" s="11"/>
      <c r="L39" s="11"/>
      <c r="M39" s="11"/>
      <c r="N39" s="11"/>
      <c r="O39" s="11"/>
      <c r="P39" s="11"/>
      <c r="Q39" s="11"/>
      <c r="R39" s="11"/>
    </row>
    <row r="40" spans="1:18" ht="28.15" customHeight="1" x14ac:dyDescent="0.2">
      <c r="A40" s="271" t="s">
        <v>138</v>
      </c>
      <c r="B40" s="273">
        <v>9800</v>
      </c>
      <c r="C40" s="271" t="s">
        <v>109</v>
      </c>
      <c r="D40" s="275" t="s">
        <v>137</v>
      </c>
      <c r="E40" s="62" t="s">
        <v>150</v>
      </c>
      <c r="F40" s="39" t="s">
        <v>151</v>
      </c>
      <c r="G40" s="39">
        <f t="shared" si="0"/>
        <v>200000</v>
      </c>
      <c r="H40" s="57">
        <v>150000</v>
      </c>
      <c r="I40" s="57">
        <v>50000</v>
      </c>
      <c r="J40" s="63">
        <v>50000</v>
      </c>
      <c r="K40" s="11"/>
      <c r="L40" s="11"/>
      <c r="M40" s="11"/>
      <c r="N40" s="11"/>
      <c r="O40" s="11"/>
      <c r="P40" s="11"/>
      <c r="Q40" s="11"/>
      <c r="R40" s="11"/>
    </row>
    <row r="41" spans="1:18" ht="57.6" customHeight="1" x14ac:dyDescent="0.2">
      <c r="A41" s="272"/>
      <c r="B41" s="274"/>
      <c r="C41" s="272"/>
      <c r="D41" s="276"/>
      <c r="E41" s="62" t="s">
        <v>147</v>
      </c>
      <c r="F41" s="39" t="s">
        <v>149</v>
      </c>
      <c r="G41" s="39">
        <f t="shared" si="0"/>
        <v>150000</v>
      </c>
      <c r="H41" s="57">
        <v>150000</v>
      </c>
      <c r="I41" s="57"/>
      <c r="J41" s="61"/>
      <c r="K41" s="11"/>
      <c r="L41" s="11"/>
      <c r="M41" s="11"/>
      <c r="N41" s="11"/>
      <c r="O41" s="11"/>
      <c r="P41" s="11"/>
      <c r="Q41" s="11"/>
      <c r="R41" s="11"/>
    </row>
    <row r="42" spans="1:18" ht="18.600000000000001" customHeight="1" x14ac:dyDescent="0.2">
      <c r="A42" s="53"/>
      <c r="B42" s="35"/>
      <c r="C42" s="36"/>
      <c r="D42" s="40" t="s">
        <v>87</v>
      </c>
      <c r="E42" s="41"/>
      <c r="F42" s="41"/>
      <c r="G42" s="56">
        <f>SUM(G12:G41)</f>
        <v>69959883</v>
      </c>
      <c r="H42" s="56">
        <f>SUM(H12:H41)</f>
        <v>16263707</v>
      </c>
      <c r="I42" s="56">
        <f>SUM(I12:I41)</f>
        <v>53696176</v>
      </c>
      <c r="J42" s="56">
        <f>SUM(J12:J41)</f>
        <v>53344901</v>
      </c>
      <c r="K42" s="11"/>
      <c r="L42" s="11"/>
      <c r="M42" s="11"/>
      <c r="N42" s="11"/>
      <c r="O42" s="11"/>
      <c r="P42" s="11"/>
      <c r="Q42" s="11"/>
      <c r="R42" s="11"/>
    </row>
    <row r="43" spans="1:18" x14ac:dyDescent="0.2">
      <c r="B43" s="42"/>
      <c r="C43" s="42"/>
      <c r="D43" s="10"/>
      <c r="E43" s="10"/>
      <c r="F43" s="10"/>
      <c r="G43" s="10"/>
      <c r="H43" s="47"/>
      <c r="I43" s="48"/>
      <c r="J43" s="43"/>
      <c r="K43" s="11"/>
      <c r="L43" s="11"/>
      <c r="M43" s="11"/>
      <c r="N43" s="11"/>
      <c r="O43" s="11"/>
      <c r="P43" s="11"/>
      <c r="Q43" s="11"/>
      <c r="R43" s="11"/>
    </row>
    <row r="44" spans="1:18" ht="34.9" customHeight="1" x14ac:dyDescent="0.2">
      <c r="B44" s="44"/>
      <c r="C44" s="44"/>
      <c r="D44" s="44" t="s">
        <v>84</v>
      </c>
      <c r="E44" s="45" t="s">
        <v>116</v>
      </c>
      <c r="F44" s="44"/>
      <c r="G44" s="44"/>
      <c r="H44" s="49"/>
      <c r="I44" s="49"/>
      <c r="J44" s="44"/>
      <c r="K44" s="11"/>
      <c r="L44" s="11"/>
      <c r="M44" s="11"/>
      <c r="N44" s="11"/>
      <c r="O44" s="11"/>
      <c r="P44" s="11"/>
      <c r="Q44" s="11"/>
      <c r="R44" s="11"/>
    </row>
    <row r="45" spans="1:18" ht="20.25" customHeight="1" x14ac:dyDescent="0.2">
      <c r="B45" s="277"/>
      <c r="C45" s="277"/>
      <c r="D45" s="277"/>
      <c r="E45" s="277"/>
      <c r="F45" s="277"/>
      <c r="G45" s="277"/>
      <c r="H45" s="277"/>
      <c r="I45" s="277"/>
      <c r="J45" s="277"/>
      <c r="K45" s="46"/>
      <c r="L45" s="46"/>
      <c r="M45" s="46"/>
      <c r="N45" s="46"/>
      <c r="O45" s="46"/>
      <c r="P45" s="46"/>
      <c r="Q45" s="46"/>
      <c r="R45" s="46"/>
    </row>
    <row r="46" spans="1:18" ht="20.25" customHeight="1" x14ac:dyDescent="0.2"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</row>
    <row r="47" spans="1:18" ht="30.75" customHeight="1" x14ac:dyDescent="0.2">
      <c r="B47" s="277"/>
      <c r="C47" s="277"/>
      <c r="D47" s="277"/>
      <c r="E47" s="277"/>
      <c r="F47" s="277"/>
      <c r="G47" s="277"/>
      <c r="H47" s="277"/>
      <c r="I47" s="277"/>
      <c r="J47" s="277"/>
      <c r="K47" s="46"/>
      <c r="L47" s="46"/>
      <c r="M47" s="46"/>
      <c r="N47" s="46"/>
      <c r="O47" s="46"/>
      <c r="P47" s="46"/>
      <c r="Q47" s="46"/>
      <c r="R47" s="46"/>
    </row>
    <row r="48" spans="1:18" ht="21" customHeight="1" x14ac:dyDescent="0.2"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</row>
    <row r="49" spans="2:18" x14ac:dyDescent="0.2">
      <c r="B49" s="42"/>
      <c r="C49" s="42"/>
      <c r="D49" s="10"/>
      <c r="E49" s="10"/>
      <c r="F49" s="10"/>
      <c r="G49" s="10"/>
      <c r="J49" s="10"/>
      <c r="K49" s="11"/>
      <c r="L49" s="11"/>
      <c r="M49" s="11"/>
      <c r="N49" s="11"/>
      <c r="O49" s="11"/>
      <c r="P49" s="11"/>
      <c r="Q49" s="11"/>
      <c r="R49" s="11"/>
    </row>
    <row r="50" spans="2:18" x14ac:dyDescent="0.2">
      <c r="B50" s="42"/>
      <c r="C50" s="42"/>
      <c r="D50" s="10"/>
      <c r="E50" s="10"/>
      <c r="F50" s="10"/>
      <c r="G50" s="10"/>
      <c r="J50" s="10"/>
      <c r="K50" s="11"/>
      <c r="L50" s="11"/>
      <c r="M50" s="11"/>
      <c r="N50" s="11"/>
      <c r="O50" s="11"/>
      <c r="P50" s="11"/>
      <c r="Q50" s="11"/>
      <c r="R50" s="11"/>
    </row>
  </sheetData>
  <mergeCells count="28">
    <mergeCell ref="B10:B11"/>
    <mergeCell ref="A10:A11"/>
    <mergeCell ref="E12:E14"/>
    <mergeCell ref="F12:F14"/>
    <mergeCell ref="E35:E37"/>
    <mergeCell ref="E17:E18"/>
    <mergeCell ref="F17:F18"/>
    <mergeCell ref="F35:F36"/>
    <mergeCell ref="E20:E31"/>
    <mergeCell ref="F20:F31"/>
    <mergeCell ref="B6:J6"/>
    <mergeCell ref="G10:G11"/>
    <mergeCell ref="H10:H11"/>
    <mergeCell ref="E10:E11"/>
    <mergeCell ref="I10:J10"/>
    <mergeCell ref="F10:F11"/>
    <mergeCell ref="D10:D11"/>
    <mergeCell ref="A7:J7"/>
    <mergeCell ref="A8:J8"/>
    <mergeCell ref="C10:C11"/>
    <mergeCell ref="A40:A41"/>
    <mergeCell ref="B40:B41"/>
    <mergeCell ref="C40:C41"/>
    <mergeCell ref="D40:D41"/>
    <mergeCell ref="B48:R48"/>
    <mergeCell ref="B45:J45"/>
    <mergeCell ref="B47:J47"/>
    <mergeCell ref="B46:R46"/>
  </mergeCells>
  <phoneticPr fontId="23" type="noConversion"/>
  <pageMargins left="0.39370078740157483" right="0.23" top="0.27559055118110237" bottom="0.27559055118110237" header="0.27559055118110237" footer="0.19685039370078741"/>
  <pageSetup paperSize="9" scale="70" fitToHeight="32" orientation="landscape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A8E2D5-72C5-4FD3-872D-2127D2AE311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дод.1</vt:lpstr>
      <vt:lpstr>дод.2  </vt:lpstr>
      <vt:lpstr>дод.3</vt:lpstr>
      <vt:lpstr>дод.4</vt:lpstr>
      <vt:lpstr>дод.5</vt:lpstr>
      <vt:lpstr>дод. 6</vt:lpstr>
      <vt:lpstr>'дод. 6'!Заголовки_для_печати</vt:lpstr>
      <vt:lpstr>дод.1!Заголовки_для_печати</vt:lpstr>
      <vt:lpstr>'дод.2  '!Заголовки_для_печати</vt:lpstr>
      <vt:lpstr>дод.3!Заголовки_для_печати</vt:lpstr>
      <vt:lpstr>дод.4!Заголовки_для_печати</vt:lpstr>
      <vt:lpstr>дод.5!Заголовки_для_печати</vt:lpstr>
      <vt:lpstr>'дод. 6'!Область_печати</vt:lpstr>
      <vt:lpstr>дод.1!Область_печати</vt:lpstr>
      <vt:lpstr>'дод.2  '!Область_печати</vt:lpstr>
      <vt:lpstr>дод.3!Область_печати</vt:lpstr>
      <vt:lpstr>дод.4!Область_печати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Виталий</cp:lastModifiedBy>
  <cp:lastPrinted>2020-12-03T09:38:01Z</cp:lastPrinted>
  <dcterms:created xsi:type="dcterms:W3CDTF">2014-01-17T10:52:16Z</dcterms:created>
  <dcterms:modified xsi:type="dcterms:W3CDTF">2020-12-15T12:03:59Z</dcterms:modified>
</cp:coreProperties>
</file>